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8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4111.xml" ContentType="application/vnd.openxmlformats-officedocument.spreadsheetml.revisionLog+xml"/>
  <Override PartName="/xl/revisions/revisionLog161111.xml" ContentType="application/vnd.openxmlformats-officedocument.spreadsheetml.revisionLog+xml"/>
  <Override PartName="/xl/revisions/revisionLog171111.xml" ContentType="application/vnd.openxmlformats-officedocument.spreadsheetml.revisionLog+xml"/>
  <Override PartName="/xl/revisions/revisionLog110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8111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1121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611111.xml" ContentType="application/vnd.openxmlformats-officedocument.spreadsheetml.revisionLog+xml"/>
  <Override PartName="/xl/revisions/revisionLog151111.xml" ContentType="application/vnd.openxmlformats-officedocument.spreadsheetml.revisionLog+xml"/>
  <Override PartName="/xl/revisions/revisionLog1711111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11411.xml" ContentType="application/vnd.openxmlformats-officedocument.spreadsheetml.revisionLog+xml"/>
  <Override PartName="/xl/revisions/revisionLog19111.xml" ContentType="application/vnd.openxmlformats-officedocument.spreadsheetml.revisionLog+xml"/>
  <Override PartName="/xl/revisions/revisionLog112111.xml" ContentType="application/vnd.openxmlformats-officedocument.spreadsheetml.revisionLog+xml"/>
  <Override PartName="/xl/revisions/revisionLog113111.xml" ContentType="application/vnd.openxmlformats-officedocument.spreadsheetml.revisionLog+xml"/>
  <Override PartName="/xl/revisions/revisionLog114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Revision="1"/>
  <bookViews>
    <workbookView xWindow="-1305" yWindow="-135" windowWidth="15480" windowHeight="11505" firstSheet="2" activeTab="2"/>
  </bookViews>
  <sheets>
    <sheet name="Лист1" sheetId="5" state="hidden" r:id="rId1"/>
    <sheet name="Ноябрь 2013г" sheetId="2" state="hidden" r:id="rId2"/>
    <sheet name="октябрь 2014г" sheetId="1" r:id="rId3"/>
    <sheet name="октябрь 2014г. по 6-10" sheetId="3" r:id="rId4"/>
    <sheet name="октябрь 2014г. по 0,4" sheetId="4" r:id="rId5"/>
    <sheet name="Лист2" sheetId="6" state="hidden" r:id="rId6"/>
    <sheet name="Лист3" sheetId="7" state="hidden" r:id="rId7"/>
    <sheet name="Лист4" sheetId="8" state="hidden" r:id="rId8"/>
  </sheets>
  <definedNames>
    <definedName name="_xlnm._FilterDatabase" localSheetId="1" hidden="1">'Ноябрь 2013г'!$C$21:$C$131</definedName>
    <definedName name="_xlnm._FilterDatabase" localSheetId="2" hidden="1">'октябрь 2014г'!$C$21:$C$246</definedName>
    <definedName name="_xlnm._FilterDatabase" localSheetId="4" hidden="1">'октябрь 2014г. по 0,4'!$C$18:$C$127</definedName>
    <definedName name="_xlnm._FilterDatabase" localSheetId="3" hidden="1">'октябрь 2014г. по 6-10'!$C$21:$C$130</definedName>
    <definedName name="Z_511E85F2_317A_4F57_8889_9FAECC5DF910_.wvu.FilterData" localSheetId="1" hidden="1">'Ноябрь 2013г'!$C$21:$C$131</definedName>
    <definedName name="Z_511E85F2_317A_4F57_8889_9FAECC5DF910_.wvu.FilterData" localSheetId="2" hidden="1">'октябрь 2014г'!$C$21:$C$246</definedName>
    <definedName name="Z_511E85F2_317A_4F57_8889_9FAECC5DF910_.wvu.FilterData" localSheetId="4" hidden="1">'октябрь 2014г. по 0,4'!$C$18:$C$127</definedName>
    <definedName name="Z_511E85F2_317A_4F57_8889_9FAECC5DF910_.wvu.FilterData" localSheetId="3" hidden="1">'октябрь 2014г. по 6-10'!$C$21:$C$130</definedName>
    <definedName name="Z_511E85F2_317A_4F57_8889_9FAECC5DF910_.wvu.Rows" localSheetId="4" hidden="1">'октябрь 2014г. по 0,4'!$2:$12</definedName>
    <definedName name="Z_511E85F2_317A_4F57_8889_9FAECC5DF910_.wvu.Rows" localSheetId="3" hidden="1">'октябрь 2014г. по 6-10'!$2:$12</definedName>
    <definedName name="Z_A743F9C7_8B89_4E8F_B91F_1FFB859064F2_.wvu.FilterData" localSheetId="1" hidden="1">'Ноябрь 2013г'!$C$21:$C$131</definedName>
    <definedName name="Z_A743F9C7_8B89_4E8F_B91F_1FFB859064F2_.wvu.FilterData" localSheetId="2" hidden="1">'октябрь 2014г'!$C$21:$C$246</definedName>
    <definedName name="Z_A743F9C7_8B89_4E8F_B91F_1FFB859064F2_.wvu.FilterData" localSheetId="4" hidden="1">'октябрь 2014г. по 0,4'!$C$18:$C$127</definedName>
    <definedName name="Z_A743F9C7_8B89_4E8F_B91F_1FFB859064F2_.wvu.FilterData" localSheetId="3" hidden="1">'октябрь 2014г. по 6-10'!$C$21:$C$130</definedName>
    <definedName name="Z_A743F9C7_8B89_4E8F_B91F_1FFB859064F2_.wvu.Rows" localSheetId="4" hidden="1">'октябрь 2014г. по 0,4'!$2:$12</definedName>
    <definedName name="Z_A743F9C7_8B89_4E8F_B91F_1FFB859064F2_.wvu.Rows" localSheetId="3" hidden="1">'октябрь 2014г. по 6-10'!$2:$12</definedName>
  </definedNames>
  <calcPr calcId="145621"/>
  <customWorkbookViews>
    <customWorkbookView name="Данченко Игорь Васильевич - Личное представление" guid="{511E85F2-317A-4F57-8889-9FAECC5DF910}" mergeInterval="0" personalView="1" maximized="1" windowWidth="1916" windowHeight="855" activeSheetId="1"/>
    <customWorkbookView name="Мамедова Фарида - Личное представление" guid="{A743F9C7-8B89-4E8F-B91F-1FFB859064F2}" mergeInterval="0" personalView="1" maximized="1" xWindow="1" yWindow="1" windowWidth="1020" windowHeight="547" activeSheetId="4"/>
  </customWorkbookViews>
</workbook>
</file>

<file path=xl/calcChain.xml><?xml version="1.0" encoding="utf-8"?>
<calcChain xmlns="http://schemas.openxmlformats.org/spreadsheetml/2006/main">
  <c r="K192" i="4" l="1"/>
  <c r="G65" i="4"/>
  <c r="E152" i="4"/>
  <c r="E139" i="4"/>
  <c r="E35" i="3"/>
  <c r="E109" i="3"/>
  <c r="E32" i="3"/>
  <c r="E36" i="3"/>
  <c r="E104" i="3"/>
  <c r="E51" i="3"/>
  <c r="E26" i="3"/>
  <c r="E67" i="3"/>
  <c r="E110" i="3"/>
  <c r="E108" i="3"/>
  <c r="G26" i="3" l="1"/>
  <c r="H156" i="1" l="1"/>
  <c r="D242" i="1" l="1"/>
  <c r="E171" i="4" l="1"/>
  <c r="E179" i="4"/>
  <c r="E37" i="4"/>
  <c r="E144" i="4"/>
  <c r="E40" i="4"/>
  <c r="E146" i="4"/>
  <c r="E209" i="4"/>
  <c r="E115" i="4"/>
  <c r="E145" i="4"/>
  <c r="E107" i="3"/>
  <c r="E34" i="3"/>
  <c r="E90" i="4"/>
  <c r="E147" i="4"/>
  <c r="E31" i="4"/>
  <c r="E109" i="4"/>
  <c r="E122" i="4"/>
  <c r="E208" i="4"/>
  <c r="E166" i="4"/>
  <c r="E117" i="3"/>
  <c r="E83" i="4"/>
  <c r="E42" i="4"/>
  <c r="E106" i="4"/>
  <c r="E42" i="3"/>
  <c r="E64" i="4"/>
  <c r="E71" i="4"/>
  <c r="E63" i="4"/>
  <c r="E99" i="3"/>
  <c r="E240" i="4"/>
  <c r="E33" i="3"/>
  <c r="E233" i="3" l="1"/>
  <c r="E127" i="4"/>
  <c r="E49" i="3"/>
  <c r="E94" i="4"/>
  <c r="E74" i="4"/>
  <c r="E175" i="4"/>
  <c r="E178" i="3"/>
  <c r="E114" i="4"/>
  <c r="E30" i="4"/>
  <c r="E38" i="4"/>
  <c r="E121" i="4"/>
  <c r="E78" i="4"/>
  <c r="E114" i="3" l="1"/>
  <c r="E101" i="3"/>
  <c r="E67" i="4"/>
  <c r="E81" i="4"/>
  <c r="E184" i="3"/>
  <c r="E63" i="3"/>
  <c r="E167" i="4"/>
  <c r="E107" i="4"/>
  <c r="E176" i="4" l="1"/>
  <c r="E118" i="3"/>
  <c r="E39" i="4"/>
  <c r="E96" i="4"/>
  <c r="E110" i="4"/>
  <c r="E206" i="4"/>
  <c r="E126" i="4" l="1"/>
  <c r="E194" i="4"/>
  <c r="E56" i="3"/>
  <c r="E169" i="4"/>
  <c r="E223" i="4"/>
  <c r="E123" i="3"/>
  <c r="E105" i="4"/>
  <c r="E54" i="3"/>
  <c r="E57" i="3"/>
  <c r="E238" i="4"/>
  <c r="E133" i="4"/>
  <c r="E122" i="3"/>
  <c r="E62" i="3"/>
  <c r="E119" i="3"/>
  <c r="E111" i="4"/>
  <c r="E211" i="4"/>
  <c r="E218" i="4"/>
  <c r="E43" i="3"/>
  <c r="E98" i="3"/>
  <c r="D74" i="1" l="1"/>
  <c r="F74" i="1"/>
  <c r="H74" i="1"/>
  <c r="I74" i="1"/>
  <c r="J74" i="1"/>
  <c r="K74" i="1"/>
  <c r="L74" i="1"/>
  <c r="M74" i="1"/>
  <c r="N74" i="1"/>
  <c r="O74" i="1"/>
  <c r="P74" i="1"/>
  <c r="Q74" i="1"/>
  <c r="E58" i="3" l="1"/>
  <c r="E140" i="4"/>
  <c r="E123" i="4"/>
  <c r="G50" i="3"/>
  <c r="E50" i="3"/>
  <c r="E181" i="4"/>
  <c r="E74" i="1"/>
  <c r="G74" i="1"/>
  <c r="E97" i="3" l="1"/>
  <c r="G82" i="4"/>
  <c r="G75" i="4"/>
  <c r="G72" i="4"/>
  <c r="G142" i="4"/>
  <c r="G132" i="4"/>
  <c r="G128" i="4"/>
  <c r="G120" i="4"/>
  <c r="G119" i="4"/>
  <c r="G116" i="4"/>
  <c r="G207" i="4"/>
  <c r="G147" i="3"/>
  <c r="G232" i="3"/>
  <c r="E80" i="4"/>
  <c r="E222" i="4"/>
  <c r="E51" i="4"/>
  <c r="E232" i="3"/>
  <c r="E142" i="4"/>
  <c r="E27" i="4"/>
  <c r="E116" i="4"/>
  <c r="E120" i="4"/>
  <c r="E52" i="4"/>
  <c r="E128" i="4"/>
  <c r="E119" i="4" l="1"/>
  <c r="G198" i="4"/>
  <c r="E198" i="4"/>
  <c r="G34" i="4"/>
  <c r="E34" i="4"/>
  <c r="G216" i="3"/>
  <c r="E216" i="3"/>
  <c r="E214" i="3"/>
  <c r="G139" i="3"/>
  <c r="G56" i="4"/>
  <c r="G112" i="3"/>
  <c r="E112" i="3"/>
  <c r="E132" i="4"/>
  <c r="E65" i="4"/>
  <c r="G127" i="3"/>
  <c r="E126" i="3"/>
  <c r="E60" i="3"/>
  <c r="E127" i="3"/>
  <c r="G209" i="3"/>
  <c r="E209" i="3"/>
  <c r="E68" i="3" l="1"/>
  <c r="E207" i="4"/>
  <c r="I244" i="3" l="1"/>
  <c r="I245" i="3" s="1"/>
  <c r="I246" i="3" s="1"/>
  <c r="J244" i="3"/>
  <c r="K244" i="3"/>
  <c r="L244" i="3"/>
  <c r="M244" i="3"/>
  <c r="N244" i="3"/>
  <c r="O244" i="3"/>
  <c r="P244" i="3"/>
  <c r="Q244" i="3"/>
  <c r="G202" i="3"/>
  <c r="H202" i="3"/>
  <c r="I202" i="3"/>
  <c r="J202" i="3"/>
  <c r="J245" i="3" s="1"/>
  <c r="J246" i="3" s="1"/>
  <c r="K202" i="3"/>
  <c r="L202" i="3"/>
  <c r="M202" i="3"/>
  <c r="N202" i="3"/>
  <c r="N245" i="3" s="1"/>
  <c r="N246" i="3" s="1"/>
  <c r="O202" i="3"/>
  <c r="P202" i="3"/>
  <c r="Q202" i="3"/>
  <c r="G195" i="3"/>
  <c r="H195" i="3"/>
  <c r="I195" i="3"/>
  <c r="J195" i="3"/>
  <c r="K195" i="3"/>
  <c r="L195" i="3"/>
  <c r="M195" i="3"/>
  <c r="N195" i="3"/>
  <c r="O195" i="3"/>
  <c r="O245" i="3" s="1"/>
  <c r="O246" i="3" s="1"/>
  <c r="P195" i="3"/>
  <c r="Q195" i="3"/>
  <c r="P185" i="3"/>
  <c r="Q185" i="3"/>
  <c r="H185" i="3"/>
  <c r="I185" i="3"/>
  <c r="J185" i="3"/>
  <c r="K185" i="3"/>
  <c r="L185" i="3"/>
  <c r="M185" i="3"/>
  <c r="N185" i="3"/>
  <c r="O185" i="3"/>
  <c r="H153" i="3"/>
  <c r="I153" i="3"/>
  <c r="J153" i="3"/>
  <c r="L153" i="3"/>
  <c r="L245" i="3" s="1"/>
  <c r="L246" i="3" s="1"/>
  <c r="M153" i="3"/>
  <c r="N153" i="3"/>
  <c r="O153" i="3"/>
  <c r="P153" i="3"/>
  <c r="P245" i="3" s="1"/>
  <c r="P246" i="3" s="1"/>
  <c r="Q153" i="3"/>
  <c r="H102" i="3"/>
  <c r="I102" i="3"/>
  <c r="J102" i="3"/>
  <c r="K102" i="3"/>
  <c r="L102" i="3"/>
  <c r="M102" i="3"/>
  <c r="N102" i="3"/>
  <c r="O102" i="3"/>
  <c r="P102" i="3"/>
  <c r="Q102" i="3"/>
  <c r="H61" i="4"/>
  <c r="I61" i="4"/>
  <c r="J61" i="4"/>
  <c r="L61" i="4"/>
  <c r="M61" i="4"/>
  <c r="N61" i="4"/>
  <c r="O61" i="4"/>
  <c r="P61" i="4"/>
  <c r="Q61" i="4"/>
  <c r="H99" i="4"/>
  <c r="I99" i="4"/>
  <c r="J99" i="4"/>
  <c r="L99" i="4"/>
  <c r="M99" i="4"/>
  <c r="N99" i="4"/>
  <c r="O99" i="4"/>
  <c r="P99" i="4"/>
  <c r="Q99" i="4"/>
  <c r="H150" i="4"/>
  <c r="I150" i="4"/>
  <c r="J150" i="4"/>
  <c r="L150" i="4"/>
  <c r="M150" i="4"/>
  <c r="N150" i="4"/>
  <c r="O150" i="4"/>
  <c r="P150" i="4"/>
  <c r="Q150" i="4"/>
  <c r="F182" i="4"/>
  <c r="H182" i="4"/>
  <c r="I182" i="4"/>
  <c r="J182" i="4"/>
  <c r="K182" i="4"/>
  <c r="L182" i="4"/>
  <c r="M182" i="4"/>
  <c r="N182" i="4"/>
  <c r="O182" i="4"/>
  <c r="O242" i="4" s="1"/>
  <c r="O243" i="4" s="1"/>
  <c r="P182" i="4"/>
  <c r="Q182" i="4"/>
  <c r="K55" i="4"/>
  <c r="K153" i="3"/>
  <c r="K122" i="4"/>
  <c r="K65" i="4"/>
  <c r="K109" i="4"/>
  <c r="H64" i="3"/>
  <c r="I64" i="3"/>
  <c r="J64" i="3"/>
  <c r="L64" i="3"/>
  <c r="M64" i="3"/>
  <c r="N64" i="3"/>
  <c r="O64" i="3"/>
  <c r="P64" i="3"/>
  <c r="Q64" i="3"/>
  <c r="K108" i="4"/>
  <c r="K64" i="3"/>
  <c r="F241" i="4"/>
  <c r="H241" i="4"/>
  <c r="H242" i="4" s="1"/>
  <c r="H243" i="4" s="1"/>
  <c r="I241" i="4"/>
  <c r="J241" i="4"/>
  <c r="K241" i="4"/>
  <c r="L241" i="4"/>
  <c r="L242" i="4" s="1"/>
  <c r="L243" i="4" s="1"/>
  <c r="M241" i="4"/>
  <c r="M242" i="4" s="1"/>
  <c r="M243" i="4" s="1"/>
  <c r="N241" i="4"/>
  <c r="O241" i="4"/>
  <c r="P241" i="4"/>
  <c r="P242" i="4" s="1"/>
  <c r="P243" i="4" s="1"/>
  <c r="Q241" i="4"/>
  <c r="Q242" i="4" s="1"/>
  <c r="Q243" i="4" s="1"/>
  <c r="N242" i="4"/>
  <c r="N243" i="4" s="1"/>
  <c r="F244" i="3"/>
  <c r="G244" i="3"/>
  <c r="H244" i="3"/>
  <c r="H245" i="3" s="1"/>
  <c r="H246" i="3" s="1"/>
  <c r="M245" i="3"/>
  <c r="Q245" i="3"/>
  <c r="Q246" i="3" s="1"/>
  <c r="M246" i="3"/>
  <c r="Q243" i="1"/>
  <c r="P243" i="1"/>
  <c r="O243" i="1"/>
  <c r="N243" i="1"/>
  <c r="M243" i="1"/>
  <c r="L243" i="1"/>
  <c r="K243" i="1"/>
  <c r="J243" i="1"/>
  <c r="I243" i="1"/>
  <c r="H243" i="1"/>
  <c r="Q242" i="1"/>
  <c r="P242" i="1"/>
  <c r="O242" i="1"/>
  <c r="N242" i="1"/>
  <c r="M242" i="1"/>
  <c r="L242" i="1"/>
  <c r="K242" i="1"/>
  <c r="J242" i="1"/>
  <c r="I242" i="1"/>
  <c r="H242" i="1"/>
  <c r="Q241" i="1"/>
  <c r="P241" i="1"/>
  <c r="O241" i="1"/>
  <c r="N241" i="1"/>
  <c r="M241" i="1"/>
  <c r="L241" i="1"/>
  <c r="K241" i="1"/>
  <c r="J241" i="1"/>
  <c r="I241" i="1"/>
  <c r="H241" i="1"/>
  <c r="Q240" i="1"/>
  <c r="P240" i="1"/>
  <c r="O240" i="1"/>
  <c r="N240" i="1"/>
  <c r="M240" i="1"/>
  <c r="L240" i="1"/>
  <c r="K240" i="1"/>
  <c r="J240" i="1"/>
  <c r="I240" i="1"/>
  <c r="H240" i="1"/>
  <c r="Q239" i="1"/>
  <c r="P239" i="1"/>
  <c r="O239" i="1"/>
  <c r="N239" i="1"/>
  <c r="M239" i="1"/>
  <c r="L239" i="1"/>
  <c r="K239" i="1"/>
  <c r="J239" i="1"/>
  <c r="I239" i="1"/>
  <c r="H239" i="1"/>
  <c r="Q238" i="1"/>
  <c r="P238" i="1"/>
  <c r="O238" i="1"/>
  <c r="N238" i="1"/>
  <c r="M238" i="1"/>
  <c r="L238" i="1"/>
  <c r="K238" i="1"/>
  <c r="J238" i="1"/>
  <c r="I238" i="1"/>
  <c r="H238" i="1"/>
  <c r="Q237" i="1"/>
  <c r="P237" i="1"/>
  <c r="O237" i="1"/>
  <c r="N237" i="1"/>
  <c r="M237" i="1"/>
  <c r="L237" i="1"/>
  <c r="K237" i="1"/>
  <c r="J237" i="1"/>
  <c r="I237" i="1"/>
  <c r="H237" i="1"/>
  <c r="Q236" i="1"/>
  <c r="P236" i="1"/>
  <c r="O236" i="1"/>
  <c r="N236" i="1"/>
  <c r="M236" i="1"/>
  <c r="L236" i="1"/>
  <c r="K236" i="1"/>
  <c r="J236" i="1"/>
  <c r="I236" i="1"/>
  <c r="H236" i="1"/>
  <c r="Q235" i="1"/>
  <c r="P235" i="1"/>
  <c r="O235" i="1"/>
  <c r="N235" i="1"/>
  <c r="M235" i="1"/>
  <c r="L235" i="1"/>
  <c r="K235" i="1"/>
  <c r="J235" i="1"/>
  <c r="I235" i="1"/>
  <c r="H235" i="1"/>
  <c r="Q234" i="1"/>
  <c r="P234" i="1"/>
  <c r="O234" i="1"/>
  <c r="N234" i="1"/>
  <c r="M234" i="1"/>
  <c r="L234" i="1"/>
  <c r="K234" i="1"/>
  <c r="J234" i="1"/>
  <c r="I234" i="1"/>
  <c r="H234" i="1"/>
  <c r="Q233" i="1"/>
  <c r="P233" i="1"/>
  <c r="O233" i="1"/>
  <c r="N233" i="1"/>
  <c r="M233" i="1"/>
  <c r="L233" i="1"/>
  <c r="K233" i="1"/>
  <c r="J233" i="1"/>
  <c r="I233" i="1"/>
  <c r="H233" i="1"/>
  <c r="Q232" i="1"/>
  <c r="P232" i="1"/>
  <c r="O232" i="1"/>
  <c r="N232" i="1"/>
  <c r="M232" i="1"/>
  <c r="L232" i="1"/>
  <c r="K232" i="1"/>
  <c r="J232" i="1"/>
  <c r="I232" i="1"/>
  <c r="H232" i="1"/>
  <c r="Q231" i="1"/>
  <c r="P231" i="1"/>
  <c r="O231" i="1"/>
  <c r="N231" i="1"/>
  <c r="M231" i="1"/>
  <c r="L231" i="1"/>
  <c r="K231" i="1"/>
  <c r="J231" i="1"/>
  <c r="I231" i="1"/>
  <c r="H231" i="1"/>
  <c r="Q230" i="1"/>
  <c r="P230" i="1"/>
  <c r="O230" i="1"/>
  <c r="N230" i="1"/>
  <c r="M230" i="1"/>
  <c r="L230" i="1"/>
  <c r="K230" i="1"/>
  <c r="J230" i="1"/>
  <c r="I230" i="1"/>
  <c r="H230" i="1"/>
  <c r="Q229" i="1"/>
  <c r="P229" i="1"/>
  <c r="O229" i="1"/>
  <c r="N229" i="1"/>
  <c r="M229" i="1"/>
  <c r="L229" i="1"/>
  <c r="K229" i="1"/>
  <c r="J229" i="1"/>
  <c r="I229" i="1"/>
  <c r="H229" i="1"/>
  <c r="Q228" i="1"/>
  <c r="P228" i="1"/>
  <c r="O228" i="1"/>
  <c r="N228" i="1"/>
  <c r="M228" i="1"/>
  <c r="L228" i="1"/>
  <c r="K228" i="1"/>
  <c r="J228" i="1"/>
  <c r="I228" i="1"/>
  <c r="H228" i="1"/>
  <c r="Q227" i="1"/>
  <c r="P227" i="1"/>
  <c r="O227" i="1"/>
  <c r="N227" i="1"/>
  <c r="M227" i="1"/>
  <c r="L227" i="1"/>
  <c r="K227" i="1"/>
  <c r="J227" i="1"/>
  <c r="I227" i="1"/>
  <c r="H227" i="1"/>
  <c r="Q226" i="1"/>
  <c r="P226" i="1"/>
  <c r="O226" i="1"/>
  <c r="N226" i="1"/>
  <c r="M226" i="1"/>
  <c r="L226" i="1"/>
  <c r="K226" i="1"/>
  <c r="J226" i="1"/>
  <c r="I226" i="1"/>
  <c r="H226" i="1"/>
  <c r="Q225" i="1"/>
  <c r="P225" i="1"/>
  <c r="O225" i="1"/>
  <c r="N225" i="1"/>
  <c r="M225" i="1"/>
  <c r="L225" i="1"/>
  <c r="K225" i="1"/>
  <c r="J225" i="1"/>
  <c r="I225" i="1"/>
  <c r="H225" i="1"/>
  <c r="Q224" i="1"/>
  <c r="P224" i="1"/>
  <c r="O224" i="1"/>
  <c r="N224" i="1"/>
  <c r="M224" i="1"/>
  <c r="L224" i="1"/>
  <c r="K224" i="1"/>
  <c r="J224" i="1"/>
  <c r="I224" i="1"/>
  <c r="H224" i="1"/>
  <c r="Q223" i="1"/>
  <c r="P223" i="1"/>
  <c r="O223" i="1"/>
  <c r="N223" i="1"/>
  <c r="M223" i="1"/>
  <c r="L223" i="1"/>
  <c r="K223" i="1"/>
  <c r="J223" i="1"/>
  <c r="I223" i="1"/>
  <c r="H223" i="1"/>
  <c r="Q222" i="1"/>
  <c r="P222" i="1"/>
  <c r="O222" i="1"/>
  <c r="N222" i="1"/>
  <c r="M222" i="1"/>
  <c r="L222" i="1"/>
  <c r="K222" i="1"/>
  <c r="J222" i="1"/>
  <c r="I222" i="1"/>
  <c r="H222" i="1"/>
  <c r="Q221" i="1"/>
  <c r="P221" i="1"/>
  <c r="O221" i="1"/>
  <c r="N221" i="1"/>
  <c r="M221" i="1"/>
  <c r="L221" i="1"/>
  <c r="K221" i="1"/>
  <c r="J221" i="1"/>
  <c r="I221" i="1"/>
  <c r="H221" i="1"/>
  <c r="Q220" i="1"/>
  <c r="P220" i="1"/>
  <c r="O220" i="1"/>
  <c r="N220" i="1"/>
  <c r="M220" i="1"/>
  <c r="L220" i="1"/>
  <c r="K220" i="1"/>
  <c r="J220" i="1"/>
  <c r="I220" i="1"/>
  <c r="H220" i="1"/>
  <c r="Q219" i="1"/>
  <c r="P219" i="1"/>
  <c r="O219" i="1"/>
  <c r="N219" i="1"/>
  <c r="M219" i="1"/>
  <c r="L219" i="1"/>
  <c r="K219" i="1"/>
  <c r="J219" i="1"/>
  <c r="I219" i="1"/>
  <c r="H219" i="1"/>
  <c r="Q218" i="1"/>
  <c r="P218" i="1"/>
  <c r="O218" i="1"/>
  <c r="N218" i="1"/>
  <c r="M218" i="1"/>
  <c r="L218" i="1"/>
  <c r="K218" i="1"/>
  <c r="J218" i="1"/>
  <c r="I218" i="1"/>
  <c r="H218" i="1"/>
  <c r="Q217" i="1"/>
  <c r="P217" i="1"/>
  <c r="O217" i="1"/>
  <c r="N217" i="1"/>
  <c r="M217" i="1"/>
  <c r="L217" i="1"/>
  <c r="K217" i="1"/>
  <c r="J217" i="1"/>
  <c r="I217" i="1"/>
  <c r="H217" i="1"/>
  <c r="Q216" i="1"/>
  <c r="P216" i="1"/>
  <c r="O216" i="1"/>
  <c r="N216" i="1"/>
  <c r="M216" i="1"/>
  <c r="L216" i="1"/>
  <c r="K216" i="1"/>
  <c r="J216" i="1"/>
  <c r="I216" i="1"/>
  <c r="H216" i="1"/>
  <c r="Q215" i="1"/>
  <c r="P215" i="1"/>
  <c r="O215" i="1"/>
  <c r="N215" i="1"/>
  <c r="M215" i="1"/>
  <c r="L215" i="1"/>
  <c r="K215" i="1"/>
  <c r="J215" i="1"/>
  <c r="I215" i="1"/>
  <c r="H215" i="1"/>
  <c r="Q214" i="1"/>
  <c r="P214" i="1"/>
  <c r="O214" i="1"/>
  <c r="N214" i="1"/>
  <c r="M214" i="1"/>
  <c r="L214" i="1"/>
  <c r="K214" i="1"/>
  <c r="J214" i="1"/>
  <c r="I214" i="1"/>
  <c r="H214" i="1"/>
  <c r="Q213" i="1"/>
  <c r="P213" i="1"/>
  <c r="O213" i="1"/>
  <c r="N213" i="1"/>
  <c r="M213" i="1"/>
  <c r="L213" i="1"/>
  <c r="K213" i="1"/>
  <c r="J213" i="1"/>
  <c r="I213" i="1"/>
  <c r="H213" i="1"/>
  <c r="Q212" i="1"/>
  <c r="P212" i="1"/>
  <c r="O212" i="1"/>
  <c r="N212" i="1"/>
  <c r="M212" i="1"/>
  <c r="L212" i="1"/>
  <c r="K212" i="1"/>
  <c r="J212" i="1"/>
  <c r="I212" i="1"/>
  <c r="H212" i="1"/>
  <c r="Q211" i="1"/>
  <c r="P211" i="1"/>
  <c r="O211" i="1"/>
  <c r="N211" i="1"/>
  <c r="M211" i="1"/>
  <c r="L211" i="1"/>
  <c r="K211" i="1"/>
  <c r="J211" i="1"/>
  <c r="I211" i="1"/>
  <c r="H211" i="1"/>
  <c r="Q210" i="1"/>
  <c r="P210" i="1"/>
  <c r="O210" i="1"/>
  <c r="N210" i="1"/>
  <c r="M210" i="1"/>
  <c r="L210" i="1"/>
  <c r="K210" i="1"/>
  <c r="J210" i="1"/>
  <c r="I210" i="1"/>
  <c r="H210" i="1"/>
  <c r="Q209" i="1"/>
  <c r="P209" i="1"/>
  <c r="O209" i="1"/>
  <c r="N209" i="1"/>
  <c r="M209" i="1"/>
  <c r="L209" i="1"/>
  <c r="K209" i="1"/>
  <c r="J209" i="1"/>
  <c r="I209" i="1"/>
  <c r="H209" i="1"/>
  <c r="Q208" i="1"/>
  <c r="P208" i="1"/>
  <c r="O208" i="1"/>
  <c r="N208" i="1"/>
  <c r="M208" i="1"/>
  <c r="L208" i="1"/>
  <c r="K208" i="1"/>
  <c r="J208" i="1"/>
  <c r="I208" i="1"/>
  <c r="H208" i="1"/>
  <c r="Q207" i="1"/>
  <c r="P207" i="1"/>
  <c r="O207" i="1"/>
  <c r="N207" i="1"/>
  <c r="M207" i="1"/>
  <c r="L207" i="1"/>
  <c r="K207" i="1"/>
  <c r="J207" i="1"/>
  <c r="I207" i="1"/>
  <c r="H207" i="1"/>
  <c r="Q206" i="1"/>
  <c r="P206" i="1"/>
  <c r="O206" i="1"/>
  <c r="N206" i="1"/>
  <c r="M206" i="1"/>
  <c r="L206" i="1"/>
  <c r="K206" i="1"/>
  <c r="J206" i="1"/>
  <c r="I206" i="1"/>
  <c r="H206" i="1"/>
  <c r="Q205" i="1"/>
  <c r="P205" i="1"/>
  <c r="O205" i="1"/>
  <c r="N205" i="1"/>
  <c r="M205" i="1"/>
  <c r="L205" i="1"/>
  <c r="K205" i="1"/>
  <c r="J205" i="1"/>
  <c r="I205" i="1"/>
  <c r="H205" i="1"/>
  <c r="Q204" i="1"/>
  <c r="P204" i="1"/>
  <c r="O204" i="1"/>
  <c r="N204" i="1"/>
  <c r="M204" i="1"/>
  <c r="L204" i="1"/>
  <c r="K204" i="1"/>
  <c r="J204" i="1"/>
  <c r="I204" i="1"/>
  <c r="H204" i="1"/>
  <c r="Q201" i="1"/>
  <c r="P201" i="1"/>
  <c r="O201" i="1"/>
  <c r="N201" i="1"/>
  <c r="M201" i="1"/>
  <c r="L201" i="1"/>
  <c r="K201" i="1"/>
  <c r="J201" i="1"/>
  <c r="I201" i="1"/>
  <c r="H201" i="1"/>
  <c r="Q200" i="1"/>
  <c r="P200" i="1"/>
  <c r="O200" i="1"/>
  <c r="N200" i="1"/>
  <c r="M200" i="1"/>
  <c r="L200" i="1"/>
  <c r="K200" i="1"/>
  <c r="J200" i="1"/>
  <c r="I200" i="1"/>
  <c r="H200" i="1"/>
  <c r="Q199" i="1"/>
  <c r="P199" i="1"/>
  <c r="O199" i="1"/>
  <c r="N199" i="1"/>
  <c r="M199" i="1"/>
  <c r="L199" i="1"/>
  <c r="K199" i="1"/>
  <c r="J199" i="1"/>
  <c r="I199" i="1"/>
  <c r="H199" i="1"/>
  <c r="Q198" i="1"/>
  <c r="P198" i="1"/>
  <c r="O198" i="1"/>
  <c r="N198" i="1"/>
  <c r="M198" i="1"/>
  <c r="L198" i="1"/>
  <c r="K198" i="1"/>
  <c r="J198" i="1"/>
  <c r="I198" i="1"/>
  <c r="H198" i="1"/>
  <c r="Q197" i="1"/>
  <c r="P197" i="1"/>
  <c r="O197" i="1"/>
  <c r="N197" i="1"/>
  <c r="M197" i="1"/>
  <c r="L197" i="1"/>
  <c r="K197" i="1"/>
  <c r="J197" i="1"/>
  <c r="I197" i="1"/>
  <c r="H197" i="1"/>
  <c r="Q194" i="1"/>
  <c r="P194" i="1"/>
  <c r="O194" i="1"/>
  <c r="N194" i="1"/>
  <c r="M194" i="1"/>
  <c r="L194" i="1"/>
  <c r="K194" i="1"/>
  <c r="J194" i="1"/>
  <c r="I194" i="1"/>
  <c r="H194" i="1"/>
  <c r="Q193" i="1"/>
  <c r="P193" i="1"/>
  <c r="O193" i="1"/>
  <c r="N193" i="1"/>
  <c r="M193" i="1"/>
  <c r="L193" i="1"/>
  <c r="K193" i="1"/>
  <c r="J193" i="1"/>
  <c r="I193" i="1"/>
  <c r="H193" i="1"/>
  <c r="Q192" i="1"/>
  <c r="P192" i="1"/>
  <c r="O192" i="1"/>
  <c r="N192" i="1"/>
  <c r="M192" i="1"/>
  <c r="L192" i="1"/>
  <c r="K192" i="1"/>
  <c r="J192" i="1"/>
  <c r="I192" i="1"/>
  <c r="H192" i="1"/>
  <c r="Q191" i="1"/>
  <c r="P191" i="1"/>
  <c r="O191" i="1"/>
  <c r="N191" i="1"/>
  <c r="M191" i="1"/>
  <c r="L191" i="1"/>
  <c r="K191" i="1"/>
  <c r="J191" i="1"/>
  <c r="I191" i="1"/>
  <c r="H191" i="1"/>
  <c r="Q190" i="1"/>
  <c r="P190" i="1"/>
  <c r="O190" i="1"/>
  <c r="N190" i="1"/>
  <c r="M190" i="1"/>
  <c r="L190" i="1"/>
  <c r="K190" i="1"/>
  <c r="J190" i="1"/>
  <c r="I190" i="1"/>
  <c r="H190" i="1"/>
  <c r="Q189" i="1"/>
  <c r="P189" i="1"/>
  <c r="O189" i="1"/>
  <c r="N189" i="1"/>
  <c r="M189" i="1"/>
  <c r="L189" i="1"/>
  <c r="K189" i="1"/>
  <c r="J189" i="1"/>
  <c r="I189" i="1"/>
  <c r="H189" i="1"/>
  <c r="Q188" i="1"/>
  <c r="P188" i="1"/>
  <c r="O188" i="1"/>
  <c r="N188" i="1"/>
  <c r="M188" i="1"/>
  <c r="L188" i="1"/>
  <c r="K188" i="1"/>
  <c r="J188" i="1"/>
  <c r="I188" i="1"/>
  <c r="H188" i="1"/>
  <c r="Q187" i="1"/>
  <c r="P187" i="1"/>
  <c r="O187" i="1"/>
  <c r="N187" i="1"/>
  <c r="M187" i="1"/>
  <c r="L187" i="1"/>
  <c r="K187" i="1"/>
  <c r="J187" i="1"/>
  <c r="I187" i="1"/>
  <c r="H187" i="1"/>
  <c r="Q184" i="1"/>
  <c r="P184" i="1"/>
  <c r="O184" i="1"/>
  <c r="N184" i="1"/>
  <c r="M184" i="1"/>
  <c r="L184" i="1"/>
  <c r="K184" i="1"/>
  <c r="J184" i="1"/>
  <c r="I184" i="1"/>
  <c r="H184" i="1"/>
  <c r="Q183" i="1"/>
  <c r="P183" i="1"/>
  <c r="O183" i="1"/>
  <c r="N183" i="1"/>
  <c r="M183" i="1"/>
  <c r="L183" i="1"/>
  <c r="K183" i="1"/>
  <c r="J183" i="1"/>
  <c r="I183" i="1"/>
  <c r="H183" i="1"/>
  <c r="Q182" i="1"/>
  <c r="P182" i="1"/>
  <c r="O182" i="1"/>
  <c r="N182" i="1"/>
  <c r="M182" i="1"/>
  <c r="L182" i="1"/>
  <c r="K182" i="1"/>
  <c r="J182" i="1"/>
  <c r="I182" i="1"/>
  <c r="H182" i="1"/>
  <c r="Q181" i="1"/>
  <c r="P181" i="1"/>
  <c r="O181" i="1"/>
  <c r="N181" i="1"/>
  <c r="M181" i="1"/>
  <c r="L181" i="1"/>
  <c r="K181" i="1"/>
  <c r="J181" i="1"/>
  <c r="I181" i="1"/>
  <c r="H181" i="1"/>
  <c r="Q180" i="1"/>
  <c r="P180" i="1"/>
  <c r="O180" i="1"/>
  <c r="N180" i="1"/>
  <c r="M180" i="1"/>
  <c r="L180" i="1"/>
  <c r="K180" i="1"/>
  <c r="J180" i="1"/>
  <c r="I180" i="1"/>
  <c r="H180" i="1"/>
  <c r="Q179" i="1"/>
  <c r="P179" i="1"/>
  <c r="O179" i="1"/>
  <c r="N179" i="1"/>
  <c r="M179" i="1"/>
  <c r="L179" i="1"/>
  <c r="K179" i="1"/>
  <c r="J179" i="1"/>
  <c r="I179" i="1"/>
  <c r="H179" i="1"/>
  <c r="Q178" i="1"/>
  <c r="P178" i="1"/>
  <c r="O178" i="1"/>
  <c r="N178" i="1"/>
  <c r="M178" i="1"/>
  <c r="L178" i="1"/>
  <c r="K178" i="1"/>
  <c r="J178" i="1"/>
  <c r="I178" i="1"/>
  <c r="H178" i="1"/>
  <c r="Q177" i="1"/>
  <c r="P177" i="1"/>
  <c r="O177" i="1"/>
  <c r="N177" i="1"/>
  <c r="M177" i="1"/>
  <c r="L177" i="1"/>
  <c r="K177" i="1"/>
  <c r="J177" i="1"/>
  <c r="I177" i="1"/>
  <c r="H177" i="1"/>
  <c r="Q176" i="1"/>
  <c r="P176" i="1"/>
  <c r="O176" i="1"/>
  <c r="N176" i="1"/>
  <c r="M176" i="1"/>
  <c r="L176" i="1"/>
  <c r="K176" i="1"/>
  <c r="J176" i="1"/>
  <c r="I176" i="1"/>
  <c r="H176" i="1"/>
  <c r="Q175" i="1"/>
  <c r="P175" i="1"/>
  <c r="O175" i="1"/>
  <c r="N175" i="1"/>
  <c r="M175" i="1"/>
  <c r="L175" i="1"/>
  <c r="K175" i="1"/>
  <c r="J175" i="1"/>
  <c r="I175" i="1"/>
  <c r="H175" i="1"/>
  <c r="Q174" i="1"/>
  <c r="P174" i="1"/>
  <c r="O174" i="1"/>
  <c r="N174" i="1"/>
  <c r="M174" i="1"/>
  <c r="L174" i="1"/>
  <c r="K174" i="1"/>
  <c r="J174" i="1"/>
  <c r="I174" i="1"/>
  <c r="H174" i="1"/>
  <c r="Q173" i="1"/>
  <c r="P173" i="1"/>
  <c r="O173" i="1"/>
  <c r="N173" i="1"/>
  <c r="M173" i="1"/>
  <c r="L173" i="1"/>
  <c r="K173" i="1"/>
  <c r="J173" i="1"/>
  <c r="I173" i="1"/>
  <c r="H173" i="1"/>
  <c r="Q172" i="1"/>
  <c r="P172" i="1"/>
  <c r="O172" i="1"/>
  <c r="N172" i="1"/>
  <c r="M172" i="1"/>
  <c r="L172" i="1"/>
  <c r="K172" i="1"/>
  <c r="J172" i="1"/>
  <c r="I172" i="1"/>
  <c r="H172" i="1"/>
  <c r="Q171" i="1"/>
  <c r="P171" i="1"/>
  <c r="O171" i="1"/>
  <c r="N171" i="1"/>
  <c r="M171" i="1"/>
  <c r="L171" i="1"/>
  <c r="K171" i="1"/>
  <c r="J171" i="1"/>
  <c r="I171" i="1"/>
  <c r="H171" i="1"/>
  <c r="Q170" i="1"/>
  <c r="P170" i="1"/>
  <c r="O170" i="1"/>
  <c r="N170" i="1"/>
  <c r="M170" i="1"/>
  <c r="L170" i="1"/>
  <c r="K170" i="1"/>
  <c r="J170" i="1"/>
  <c r="I170" i="1"/>
  <c r="H170" i="1"/>
  <c r="Q169" i="1"/>
  <c r="P169" i="1"/>
  <c r="O169" i="1"/>
  <c r="N169" i="1"/>
  <c r="M169" i="1"/>
  <c r="L169" i="1"/>
  <c r="K169" i="1"/>
  <c r="J169" i="1"/>
  <c r="I169" i="1"/>
  <c r="H169" i="1"/>
  <c r="Q168" i="1"/>
  <c r="P168" i="1"/>
  <c r="O168" i="1"/>
  <c r="N168" i="1"/>
  <c r="M168" i="1"/>
  <c r="L168" i="1"/>
  <c r="K168" i="1"/>
  <c r="J168" i="1"/>
  <c r="I168" i="1"/>
  <c r="H168" i="1"/>
  <c r="Q167" i="1"/>
  <c r="P167" i="1"/>
  <c r="O167" i="1"/>
  <c r="N167" i="1"/>
  <c r="M167" i="1"/>
  <c r="L167" i="1"/>
  <c r="K167" i="1"/>
  <c r="J167" i="1"/>
  <c r="I167" i="1"/>
  <c r="H167" i="1"/>
  <c r="Q166" i="1"/>
  <c r="P166" i="1"/>
  <c r="O166" i="1"/>
  <c r="N166" i="1"/>
  <c r="M166" i="1"/>
  <c r="L166" i="1"/>
  <c r="K166" i="1"/>
  <c r="J166" i="1"/>
  <c r="I166" i="1"/>
  <c r="H166" i="1"/>
  <c r="Q165" i="1"/>
  <c r="P165" i="1"/>
  <c r="O165" i="1"/>
  <c r="N165" i="1"/>
  <c r="M165" i="1"/>
  <c r="L165" i="1"/>
  <c r="K165" i="1"/>
  <c r="J165" i="1"/>
  <c r="I165" i="1"/>
  <c r="H165" i="1"/>
  <c r="Q164" i="1"/>
  <c r="P164" i="1"/>
  <c r="O164" i="1"/>
  <c r="N164" i="1"/>
  <c r="M164" i="1"/>
  <c r="L164" i="1"/>
  <c r="K164" i="1"/>
  <c r="J164" i="1"/>
  <c r="I164" i="1"/>
  <c r="H164" i="1"/>
  <c r="Q163" i="1"/>
  <c r="P163" i="1"/>
  <c r="O163" i="1"/>
  <c r="N163" i="1"/>
  <c r="M163" i="1"/>
  <c r="L163" i="1"/>
  <c r="K163" i="1"/>
  <c r="J163" i="1"/>
  <c r="I163" i="1"/>
  <c r="H163" i="1"/>
  <c r="Q162" i="1"/>
  <c r="P162" i="1"/>
  <c r="O162" i="1"/>
  <c r="N162" i="1"/>
  <c r="M162" i="1"/>
  <c r="L162" i="1"/>
  <c r="K162" i="1"/>
  <c r="J162" i="1"/>
  <c r="I162" i="1"/>
  <c r="H162" i="1"/>
  <c r="Q161" i="1"/>
  <c r="P161" i="1"/>
  <c r="O161" i="1"/>
  <c r="N161" i="1"/>
  <c r="M161" i="1"/>
  <c r="L161" i="1"/>
  <c r="K161" i="1"/>
  <c r="J161" i="1"/>
  <c r="I161" i="1"/>
  <c r="H161" i="1"/>
  <c r="Q160" i="1"/>
  <c r="P160" i="1"/>
  <c r="O160" i="1"/>
  <c r="N160" i="1"/>
  <c r="M160" i="1"/>
  <c r="L160" i="1"/>
  <c r="K160" i="1"/>
  <c r="J160" i="1"/>
  <c r="I160" i="1"/>
  <c r="H160" i="1"/>
  <c r="Q159" i="1"/>
  <c r="P159" i="1"/>
  <c r="O159" i="1"/>
  <c r="N159" i="1"/>
  <c r="M159" i="1"/>
  <c r="L159" i="1"/>
  <c r="K159" i="1"/>
  <c r="J159" i="1"/>
  <c r="I159" i="1"/>
  <c r="H159" i="1"/>
  <c r="Q158" i="1"/>
  <c r="P158" i="1"/>
  <c r="O158" i="1"/>
  <c r="N158" i="1"/>
  <c r="M158" i="1"/>
  <c r="L158" i="1"/>
  <c r="K158" i="1"/>
  <c r="J158" i="1"/>
  <c r="I158" i="1"/>
  <c r="H158" i="1"/>
  <c r="Q157" i="1"/>
  <c r="P157" i="1"/>
  <c r="O157" i="1"/>
  <c r="N157" i="1"/>
  <c r="M157" i="1"/>
  <c r="L157" i="1"/>
  <c r="K157" i="1"/>
  <c r="J157" i="1"/>
  <c r="I157" i="1"/>
  <c r="H157" i="1"/>
  <c r="Q156" i="1"/>
  <c r="P156" i="1"/>
  <c r="O156" i="1"/>
  <c r="N156" i="1"/>
  <c r="M156" i="1"/>
  <c r="L156" i="1"/>
  <c r="K156" i="1"/>
  <c r="J156" i="1"/>
  <c r="I156" i="1"/>
  <c r="Q155" i="1"/>
  <c r="P155" i="1"/>
  <c r="O155" i="1"/>
  <c r="N155" i="1"/>
  <c r="M155" i="1"/>
  <c r="L155" i="1"/>
  <c r="K155" i="1"/>
  <c r="J155" i="1"/>
  <c r="I155" i="1"/>
  <c r="H155" i="1"/>
  <c r="Q152" i="1"/>
  <c r="P152" i="1"/>
  <c r="O152" i="1"/>
  <c r="N152" i="1"/>
  <c r="M152" i="1"/>
  <c r="L152" i="1"/>
  <c r="Q151" i="1"/>
  <c r="P151" i="1"/>
  <c r="O151" i="1"/>
  <c r="N151" i="1"/>
  <c r="M151" i="1"/>
  <c r="L151" i="1"/>
  <c r="Q150" i="1"/>
  <c r="P150" i="1"/>
  <c r="O150" i="1"/>
  <c r="N150" i="1"/>
  <c r="M150" i="1"/>
  <c r="L150" i="1"/>
  <c r="Q149" i="1"/>
  <c r="P149" i="1"/>
  <c r="O149" i="1"/>
  <c r="N149" i="1"/>
  <c r="M149" i="1"/>
  <c r="L149" i="1"/>
  <c r="Q148" i="1"/>
  <c r="P148" i="1"/>
  <c r="O148" i="1"/>
  <c r="N148" i="1"/>
  <c r="M148" i="1"/>
  <c r="L148" i="1"/>
  <c r="Q147" i="1"/>
  <c r="P147" i="1"/>
  <c r="O147" i="1"/>
  <c r="N147" i="1"/>
  <c r="M147" i="1"/>
  <c r="L147" i="1"/>
  <c r="Q146" i="1"/>
  <c r="P146" i="1"/>
  <c r="O146" i="1"/>
  <c r="N146" i="1"/>
  <c r="M146" i="1"/>
  <c r="L146" i="1"/>
  <c r="Q145" i="1"/>
  <c r="P145" i="1"/>
  <c r="O145" i="1"/>
  <c r="N145" i="1"/>
  <c r="M145" i="1"/>
  <c r="L145" i="1"/>
  <c r="Q144" i="1"/>
  <c r="P144" i="1"/>
  <c r="O144" i="1"/>
  <c r="N144" i="1"/>
  <c r="M144" i="1"/>
  <c r="L144" i="1"/>
  <c r="Q143" i="1"/>
  <c r="P143" i="1"/>
  <c r="O143" i="1"/>
  <c r="N143" i="1"/>
  <c r="M143" i="1"/>
  <c r="L143" i="1"/>
  <c r="Q142" i="1"/>
  <c r="P142" i="1"/>
  <c r="O142" i="1"/>
  <c r="N142" i="1"/>
  <c r="M142" i="1"/>
  <c r="L142" i="1"/>
  <c r="Q141" i="1"/>
  <c r="P141" i="1"/>
  <c r="O141" i="1"/>
  <c r="N141" i="1"/>
  <c r="M141" i="1"/>
  <c r="L141" i="1"/>
  <c r="Q140" i="1"/>
  <c r="P140" i="1"/>
  <c r="O140" i="1"/>
  <c r="N140" i="1"/>
  <c r="M140" i="1"/>
  <c r="L140" i="1"/>
  <c r="Q139" i="1"/>
  <c r="P139" i="1"/>
  <c r="O139" i="1"/>
  <c r="N139" i="1"/>
  <c r="M139" i="1"/>
  <c r="L139" i="1"/>
  <c r="Q138" i="1"/>
  <c r="P138" i="1"/>
  <c r="O138" i="1"/>
  <c r="N138" i="1"/>
  <c r="M138" i="1"/>
  <c r="L138" i="1"/>
  <c r="Q137" i="1"/>
  <c r="P137" i="1"/>
  <c r="O137" i="1"/>
  <c r="N137" i="1"/>
  <c r="M137" i="1"/>
  <c r="L137" i="1"/>
  <c r="Q136" i="1"/>
  <c r="P136" i="1"/>
  <c r="O136" i="1"/>
  <c r="N136" i="1"/>
  <c r="M136" i="1"/>
  <c r="L136" i="1"/>
  <c r="Q135" i="1"/>
  <c r="P135" i="1"/>
  <c r="O135" i="1"/>
  <c r="N135" i="1"/>
  <c r="M135" i="1"/>
  <c r="L135" i="1"/>
  <c r="Q134" i="1"/>
  <c r="P134" i="1"/>
  <c r="O134" i="1"/>
  <c r="N134" i="1"/>
  <c r="M134" i="1"/>
  <c r="L134" i="1"/>
  <c r="Q133" i="1"/>
  <c r="P133" i="1"/>
  <c r="O133" i="1"/>
  <c r="N133" i="1"/>
  <c r="M133" i="1"/>
  <c r="L133" i="1"/>
  <c r="Q132" i="1"/>
  <c r="P132" i="1"/>
  <c r="O132" i="1"/>
  <c r="N132" i="1"/>
  <c r="M132" i="1"/>
  <c r="L132" i="1"/>
  <c r="Q131" i="1"/>
  <c r="P131" i="1"/>
  <c r="O131" i="1"/>
  <c r="N131" i="1"/>
  <c r="M131" i="1"/>
  <c r="L131" i="1"/>
  <c r="Q130" i="1"/>
  <c r="P130" i="1"/>
  <c r="O130" i="1"/>
  <c r="N130" i="1"/>
  <c r="M130" i="1"/>
  <c r="L130" i="1"/>
  <c r="Q129" i="1"/>
  <c r="P129" i="1"/>
  <c r="O129" i="1"/>
  <c r="N129" i="1"/>
  <c r="M129" i="1"/>
  <c r="L129" i="1"/>
  <c r="Q128" i="1"/>
  <c r="P128" i="1"/>
  <c r="O128" i="1"/>
  <c r="N128" i="1"/>
  <c r="M128" i="1"/>
  <c r="L128" i="1"/>
  <c r="Q127" i="1"/>
  <c r="P127" i="1"/>
  <c r="O127" i="1"/>
  <c r="N127" i="1"/>
  <c r="M127" i="1"/>
  <c r="L127" i="1"/>
  <c r="Q126" i="1"/>
  <c r="P126" i="1"/>
  <c r="O126" i="1"/>
  <c r="N126" i="1"/>
  <c r="M126" i="1"/>
  <c r="L126" i="1"/>
  <c r="Q125" i="1"/>
  <c r="P125" i="1"/>
  <c r="O125" i="1"/>
  <c r="N125" i="1"/>
  <c r="M125" i="1"/>
  <c r="L125" i="1"/>
  <c r="Q124" i="1"/>
  <c r="P124" i="1"/>
  <c r="O124" i="1"/>
  <c r="N124" i="1"/>
  <c r="M124" i="1"/>
  <c r="L124" i="1"/>
  <c r="Q123" i="1"/>
  <c r="P123" i="1"/>
  <c r="O123" i="1"/>
  <c r="N123" i="1"/>
  <c r="M123" i="1"/>
  <c r="L123" i="1"/>
  <c r="Q122" i="1"/>
  <c r="P122" i="1"/>
  <c r="O122" i="1"/>
  <c r="N122" i="1"/>
  <c r="M122" i="1"/>
  <c r="L122" i="1"/>
  <c r="Q121" i="1"/>
  <c r="P121" i="1"/>
  <c r="O121" i="1"/>
  <c r="N121" i="1"/>
  <c r="M121" i="1"/>
  <c r="L121" i="1"/>
  <c r="Q120" i="1"/>
  <c r="P120" i="1"/>
  <c r="O120" i="1"/>
  <c r="N120" i="1"/>
  <c r="M120" i="1"/>
  <c r="L120" i="1"/>
  <c r="Q119" i="1"/>
  <c r="P119" i="1"/>
  <c r="O119" i="1"/>
  <c r="N119" i="1"/>
  <c r="M119" i="1"/>
  <c r="L119" i="1"/>
  <c r="Q118" i="1"/>
  <c r="P118" i="1"/>
  <c r="O118" i="1"/>
  <c r="N118" i="1"/>
  <c r="M118" i="1"/>
  <c r="L118" i="1"/>
  <c r="Q117" i="1"/>
  <c r="P117" i="1"/>
  <c r="O117" i="1"/>
  <c r="N117" i="1"/>
  <c r="M117" i="1"/>
  <c r="L117" i="1"/>
  <c r="Q116" i="1"/>
  <c r="P116" i="1"/>
  <c r="O116" i="1"/>
  <c r="N116" i="1"/>
  <c r="M116" i="1"/>
  <c r="L116" i="1"/>
  <c r="Q115" i="1"/>
  <c r="P115" i="1"/>
  <c r="O115" i="1"/>
  <c r="N115" i="1"/>
  <c r="M115" i="1"/>
  <c r="L115" i="1"/>
  <c r="Q114" i="1"/>
  <c r="P114" i="1"/>
  <c r="O114" i="1"/>
  <c r="N114" i="1"/>
  <c r="M114" i="1"/>
  <c r="L114" i="1"/>
  <c r="Q113" i="1"/>
  <c r="P113" i="1"/>
  <c r="O113" i="1"/>
  <c r="N113" i="1"/>
  <c r="M113" i="1"/>
  <c r="L113" i="1"/>
  <c r="Q112" i="1"/>
  <c r="P112" i="1"/>
  <c r="O112" i="1"/>
  <c r="N112" i="1"/>
  <c r="M112" i="1"/>
  <c r="L112" i="1"/>
  <c r="Q111" i="1"/>
  <c r="P111" i="1"/>
  <c r="O111" i="1"/>
  <c r="N111" i="1"/>
  <c r="M111" i="1"/>
  <c r="L111" i="1"/>
  <c r="Q110" i="1"/>
  <c r="P110" i="1"/>
  <c r="O110" i="1"/>
  <c r="N110" i="1"/>
  <c r="M110" i="1"/>
  <c r="L110" i="1"/>
  <c r="Q109" i="1"/>
  <c r="P109" i="1"/>
  <c r="O109" i="1"/>
  <c r="N109" i="1"/>
  <c r="M109" i="1"/>
  <c r="L109" i="1"/>
  <c r="Q108" i="1"/>
  <c r="P108" i="1"/>
  <c r="O108" i="1"/>
  <c r="N108" i="1"/>
  <c r="M108" i="1"/>
  <c r="L108" i="1"/>
  <c r="Q107" i="1"/>
  <c r="P107" i="1"/>
  <c r="O107" i="1"/>
  <c r="N107" i="1"/>
  <c r="M107" i="1"/>
  <c r="L107" i="1"/>
  <c r="Q106" i="1"/>
  <c r="P106" i="1"/>
  <c r="O106" i="1"/>
  <c r="N106" i="1"/>
  <c r="M106" i="1"/>
  <c r="L106" i="1"/>
  <c r="Q105" i="1"/>
  <c r="P105" i="1"/>
  <c r="O105" i="1"/>
  <c r="N105" i="1"/>
  <c r="M105" i="1"/>
  <c r="L105" i="1"/>
  <c r="Q104" i="1"/>
  <c r="P104" i="1"/>
  <c r="O104" i="1"/>
  <c r="N104" i="1"/>
  <c r="M104" i="1"/>
  <c r="L104" i="1"/>
  <c r="Q101" i="1"/>
  <c r="P101" i="1"/>
  <c r="O101" i="1"/>
  <c r="N101" i="1"/>
  <c r="M101" i="1"/>
  <c r="L101" i="1"/>
  <c r="Q100" i="1"/>
  <c r="P100" i="1"/>
  <c r="O100" i="1"/>
  <c r="N100" i="1"/>
  <c r="M100" i="1"/>
  <c r="L100" i="1"/>
  <c r="Q99" i="1"/>
  <c r="P99" i="1"/>
  <c r="O99" i="1"/>
  <c r="N99" i="1"/>
  <c r="M99" i="1"/>
  <c r="L99" i="1"/>
  <c r="Q98" i="1"/>
  <c r="P98" i="1"/>
  <c r="O98" i="1"/>
  <c r="N98" i="1"/>
  <c r="M98" i="1"/>
  <c r="L98" i="1"/>
  <c r="Q97" i="1"/>
  <c r="P97" i="1"/>
  <c r="O97" i="1"/>
  <c r="N97" i="1"/>
  <c r="M97" i="1"/>
  <c r="L97" i="1"/>
  <c r="Q96" i="1"/>
  <c r="P96" i="1"/>
  <c r="O96" i="1"/>
  <c r="N96" i="1"/>
  <c r="M96" i="1"/>
  <c r="L96" i="1"/>
  <c r="Q95" i="1"/>
  <c r="P95" i="1"/>
  <c r="O95" i="1"/>
  <c r="N95" i="1"/>
  <c r="M95" i="1"/>
  <c r="L95" i="1"/>
  <c r="Q94" i="1"/>
  <c r="P94" i="1"/>
  <c r="O94" i="1"/>
  <c r="N94" i="1"/>
  <c r="M94" i="1"/>
  <c r="L94" i="1"/>
  <c r="Q93" i="1"/>
  <c r="P93" i="1"/>
  <c r="O93" i="1"/>
  <c r="N93" i="1"/>
  <c r="M93" i="1"/>
  <c r="L93" i="1"/>
  <c r="Q92" i="1"/>
  <c r="P92" i="1"/>
  <c r="O92" i="1"/>
  <c r="N92" i="1"/>
  <c r="M92" i="1"/>
  <c r="L92" i="1"/>
  <c r="Q91" i="1"/>
  <c r="P91" i="1"/>
  <c r="O91" i="1"/>
  <c r="N91" i="1"/>
  <c r="M91" i="1"/>
  <c r="L91" i="1"/>
  <c r="Q90" i="1"/>
  <c r="P90" i="1"/>
  <c r="O90" i="1"/>
  <c r="N90" i="1"/>
  <c r="M90" i="1"/>
  <c r="L90" i="1"/>
  <c r="Q89" i="1"/>
  <c r="P89" i="1"/>
  <c r="O89" i="1"/>
  <c r="N89" i="1"/>
  <c r="M89" i="1"/>
  <c r="L89" i="1"/>
  <c r="Q88" i="1"/>
  <c r="P88" i="1"/>
  <c r="O88" i="1"/>
  <c r="N88" i="1"/>
  <c r="M88" i="1"/>
  <c r="L88" i="1"/>
  <c r="Q87" i="1"/>
  <c r="P87" i="1"/>
  <c r="O87" i="1"/>
  <c r="N87" i="1"/>
  <c r="M87" i="1"/>
  <c r="L87" i="1"/>
  <c r="Q86" i="1"/>
  <c r="P86" i="1"/>
  <c r="O86" i="1"/>
  <c r="N86" i="1"/>
  <c r="M86" i="1"/>
  <c r="L86" i="1"/>
  <c r="Q85" i="1"/>
  <c r="P85" i="1"/>
  <c r="O85" i="1"/>
  <c r="N85" i="1"/>
  <c r="M85" i="1"/>
  <c r="L85" i="1"/>
  <c r="Q84" i="1"/>
  <c r="P84" i="1"/>
  <c r="O84" i="1"/>
  <c r="N84" i="1"/>
  <c r="M84" i="1"/>
  <c r="L84" i="1"/>
  <c r="Q83" i="1"/>
  <c r="P83" i="1"/>
  <c r="O83" i="1"/>
  <c r="N83" i="1"/>
  <c r="M83" i="1"/>
  <c r="L83" i="1"/>
  <c r="Q82" i="1"/>
  <c r="P82" i="1"/>
  <c r="O82" i="1"/>
  <c r="N82" i="1"/>
  <c r="M82" i="1"/>
  <c r="L82" i="1"/>
  <c r="Q81" i="1"/>
  <c r="P81" i="1"/>
  <c r="O81" i="1"/>
  <c r="N81" i="1"/>
  <c r="M81" i="1"/>
  <c r="L81" i="1"/>
  <c r="Q80" i="1"/>
  <c r="P80" i="1"/>
  <c r="O80" i="1"/>
  <c r="N80" i="1"/>
  <c r="M80" i="1"/>
  <c r="L80" i="1"/>
  <c r="Q79" i="1"/>
  <c r="P79" i="1"/>
  <c r="O79" i="1"/>
  <c r="N79" i="1"/>
  <c r="M79" i="1"/>
  <c r="L79" i="1"/>
  <c r="Q78" i="1"/>
  <c r="P78" i="1"/>
  <c r="O78" i="1"/>
  <c r="N78" i="1"/>
  <c r="M78" i="1"/>
  <c r="L78" i="1"/>
  <c r="Q77" i="1"/>
  <c r="P77" i="1"/>
  <c r="O77" i="1"/>
  <c r="N77" i="1"/>
  <c r="M77" i="1"/>
  <c r="L77" i="1"/>
  <c r="Q76" i="1"/>
  <c r="P76" i="1"/>
  <c r="O76" i="1"/>
  <c r="N76" i="1"/>
  <c r="M76" i="1"/>
  <c r="L76" i="1"/>
  <c r="Q75" i="1"/>
  <c r="P75" i="1"/>
  <c r="O75" i="1"/>
  <c r="N75" i="1"/>
  <c r="M75" i="1"/>
  <c r="L75" i="1"/>
  <c r="Q73" i="1"/>
  <c r="P73" i="1"/>
  <c r="O73" i="1"/>
  <c r="N73" i="1"/>
  <c r="M73" i="1"/>
  <c r="L73" i="1"/>
  <c r="Q72" i="1"/>
  <c r="P72" i="1"/>
  <c r="O72" i="1"/>
  <c r="N72" i="1"/>
  <c r="M72" i="1"/>
  <c r="L72" i="1"/>
  <c r="Q71" i="1"/>
  <c r="P71" i="1"/>
  <c r="O71" i="1"/>
  <c r="N71" i="1"/>
  <c r="M71" i="1"/>
  <c r="L71" i="1"/>
  <c r="Q70" i="1"/>
  <c r="P70" i="1"/>
  <c r="O70" i="1"/>
  <c r="N70" i="1"/>
  <c r="M70" i="1"/>
  <c r="L70" i="1"/>
  <c r="Q69" i="1"/>
  <c r="P69" i="1"/>
  <c r="O69" i="1"/>
  <c r="N69" i="1"/>
  <c r="M69" i="1"/>
  <c r="L69" i="1"/>
  <c r="Q68" i="1"/>
  <c r="P68" i="1"/>
  <c r="O68" i="1"/>
  <c r="N68" i="1"/>
  <c r="M68" i="1"/>
  <c r="L68" i="1"/>
  <c r="Q67" i="1"/>
  <c r="P67" i="1"/>
  <c r="O67" i="1"/>
  <c r="N67" i="1"/>
  <c r="M67" i="1"/>
  <c r="L67" i="1"/>
  <c r="Q66" i="1"/>
  <c r="P66" i="1"/>
  <c r="O66" i="1"/>
  <c r="N66" i="1"/>
  <c r="M66" i="1"/>
  <c r="L66" i="1"/>
  <c r="Q63" i="1"/>
  <c r="P63" i="1"/>
  <c r="O63" i="1"/>
  <c r="N63" i="1"/>
  <c r="M63" i="1"/>
  <c r="L63" i="1"/>
  <c r="Q62" i="1"/>
  <c r="P62" i="1"/>
  <c r="O62" i="1"/>
  <c r="N62" i="1"/>
  <c r="M62" i="1"/>
  <c r="L62" i="1"/>
  <c r="Q61" i="1"/>
  <c r="P61" i="1"/>
  <c r="O61" i="1"/>
  <c r="N61" i="1"/>
  <c r="M61" i="1"/>
  <c r="L61" i="1"/>
  <c r="Q60" i="1"/>
  <c r="P60" i="1"/>
  <c r="O60" i="1"/>
  <c r="N60" i="1"/>
  <c r="M60" i="1"/>
  <c r="L60" i="1"/>
  <c r="Q59" i="1"/>
  <c r="P59" i="1"/>
  <c r="O59" i="1"/>
  <c r="N59" i="1"/>
  <c r="M59" i="1"/>
  <c r="L59" i="1"/>
  <c r="Q58" i="1"/>
  <c r="P58" i="1"/>
  <c r="O58" i="1"/>
  <c r="N58" i="1"/>
  <c r="M58" i="1"/>
  <c r="L58" i="1"/>
  <c r="Q57" i="1"/>
  <c r="P57" i="1"/>
  <c r="O57" i="1"/>
  <c r="N57" i="1"/>
  <c r="M57" i="1"/>
  <c r="L57" i="1"/>
  <c r="Q56" i="1"/>
  <c r="P56" i="1"/>
  <c r="O56" i="1"/>
  <c r="N56" i="1"/>
  <c r="M56" i="1"/>
  <c r="L56" i="1"/>
  <c r="Q55" i="1"/>
  <c r="P55" i="1"/>
  <c r="O55" i="1"/>
  <c r="N55" i="1"/>
  <c r="M55" i="1"/>
  <c r="L55" i="1"/>
  <c r="Q54" i="1"/>
  <c r="P54" i="1"/>
  <c r="O54" i="1"/>
  <c r="N54" i="1"/>
  <c r="M54" i="1"/>
  <c r="L54" i="1"/>
  <c r="Q53" i="1"/>
  <c r="P53" i="1"/>
  <c r="O53" i="1"/>
  <c r="N53" i="1"/>
  <c r="M53" i="1"/>
  <c r="L53" i="1"/>
  <c r="Q52" i="1"/>
  <c r="P52" i="1"/>
  <c r="O52" i="1"/>
  <c r="N52" i="1"/>
  <c r="M52" i="1"/>
  <c r="L52" i="1"/>
  <c r="Q51" i="1"/>
  <c r="P51" i="1"/>
  <c r="O51" i="1"/>
  <c r="N51" i="1"/>
  <c r="M51" i="1"/>
  <c r="L51" i="1"/>
  <c r="Q50" i="1"/>
  <c r="P50" i="1"/>
  <c r="O50" i="1"/>
  <c r="N50" i="1"/>
  <c r="M50" i="1"/>
  <c r="L50" i="1"/>
  <c r="Q49" i="1"/>
  <c r="P49" i="1"/>
  <c r="O49" i="1"/>
  <c r="N49" i="1"/>
  <c r="M49" i="1"/>
  <c r="L49" i="1"/>
  <c r="Q48" i="1"/>
  <c r="P48" i="1"/>
  <c r="O48" i="1"/>
  <c r="N48" i="1"/>
  <c r="M48" i="1"/>
  <c r="L48" i="1"/>
  <c r="Q47" i="1"/>
  <c r="P47" i="1"/>
  <c r="O47" i="1"/>
  <c r="N47" i="1"/>
  <c r="M47" i="1"/>
  <c r="L47" i="1"/>
  <c r="Q46" i="1"/>
  <c r="P46" i="1"/>
  <c r="O46" i="1"/>
  <c r="N46" i="1"/>
  <c r="M46" i="1"/>
  <c r="L46" i="1"/>
  <c r="Q45" i="1"/>
  <c r="P45" i="1"/>
  <c r="O45" i="1"/>
  <c r="N45" i="1"/>
  <c r="M45" i="1"/>
  <c r="L45" i="1"/>
  <c r="Q44" i="1"/>
  <c r="P44" i="1"/>
  <c r="O44" i="1"/>
  <c r="N44" i="1"/>
  <c r="M44" i="1"/>
  <c r="L44" i="1"/>
  <c r="Q43" i="1"/>
  <c r="P43" i="1"/>
  <c r="O43" i="1"/>
  <c r="N43" i="1"/>
  <c r="M43" i="1"/>
  <c r="L43" i="1"/>
  <c r="Q42" i="1"/>
  <c r="P42" i="1"/>
  <c r="O42" i="1"/>
  <c r="N42" i="1"/>
  <c r="M42" i="1"/>
  <c r="L42" i="1"/>
  <c r="Q41" i="1"/>
  <c r="P41" i="1"/>
  <c r="O41" i="1"/>
  <c r="N41" i="1"/>
  <c r="M41" i="1"/>
  <c r="L41" i="1"/>
  <c r="Q40" i="1"/>
  <c r="P40" i="1"/>
  <c r="O40" i="1"/>
  <c r="N40" i="1"/>
  <c r="M40" i="1"/>
  <c r="L40" i="1"/>
  <c r="Q39" i="1"/>
  <c r="P39" i="1"/>
  <c r="O39" i="1"/>
  <c r="N39" i="1"/>
  <c r="M39" i="1"/>
  <c r="L39" i="1"/>
  <c r="Q38" i="1"/>
  <c r="P38" i="1"/>
  <c r="O38" i="1"/>
  <c r="N38" i="1"/>
  <c r="M38" i="1"/>
  <c r="L38" i="1"/>
  <c r="Q37" i="1"/>
  <c r="P37" i="1"/>
  <c r="O37" i="1"/>
  <c r="N37" i="1"/>
  <c r="M37" i="1"/>
  <c r="L37" i="1"/>
  <c r="Q36" i="1"/>
  <c r="P36" i="1"/>
  <c r="O36" i="1"/>
  <c r="N36" i="1"/>
  <c r="M36" i="1"/>
  <c r="L36" i="1"/>
  <c r="Q35" i="1"/>
  <c r="P35" i="1"/>
  <c r="O35" i="1"/>
  <c r="N35" i="1"/>
  <c r="M35" i="1"/>
  <c r="L35" i="1"/>
  <c r="Q34" i="1"/>
  <c r="P34" i="1"/>
  <c r="O34" i="1"/>
  <c r="N34" i="1"/>
  <c r="M34" i="1"/>
  <c r="L34" i="1"/>
  <c r="Q33" i="1"/>
  <c r="P33" i="1"/>
  <c r="O33" i="1"/>
  <c r="N33" i="1"/>
  <c r="M33" i="1"/>
  <c r="L33" i="1"/>
  <c r="Q32" i="1"/>
  <c r="P32" i="1"/>
  <c r="O32" i="1"/>
  <c r="N32" i="1"/>
  <c r="M32" i="1"/>
  <c r="L32" i="1"/>
  <c r="Q31" i="1"/>
  <c r="P31" i="1"/>
  <c r="O31" i="1"/>
  <c r="N31" i="1"/>
  <c r="M31" i="1"/>
  <c r="L31" i="1"/>
  <c r="Q30" i="1"/>
  <c r="P30" i="1"/>
  <c r="O30" i="1"/>
  <c r="N30" i="1"/>
  <c r="M30" i="1"/>
  <c r="L30" i="1"/>
  <c r="Q29" i="1"/>
  <c r="P29" i="1"/>
  <c r="O29" i="1"/>
  <c r="N29" i="1"/>
  <c r="M29" i="1"/>
  <c r="L29" i="1"/>
  <c r="Q28" i="1"/>
  <c r="P28" i="1"/>
  <c r="O28" i="1"/>
  <c r="N28" i="1"/>
  <c r="M28" i="1"/>
  <c r="L28" i="1"/>
  <c r="Q27" i="1"/>
  <c r="P27" i="1"/>
  <c r="O27" i="1"/>
  <c r="N27" i="1"/>
  <c r="M27" i="1"/>
  <c r="L27" i="1"/>
  <c r="Q26" i="1"/>
  <c r="P26" i="1"/>
  <c r="O26" i="1"/>
  <c r="N26" i="1"/>
  <c r="M26" i="1"/>
  <c r="L26" i="1"/>
  <c r="Q25" i="1"/>
  <c r="P25" i="1"/>
  <c r="O25" i="1"/>
  <c r="N25" i="1"/>
  <c r="M25" i="1"/>
  <c r="L25" i="1"/>
  <c r="Q24" i="1"/>
  <c r="P24" i="1"/>
  <c r="O24" i="1"/>
  <c r="N24" i="1"/>
  <c r="M24" i="1"/>
  <c r="L24" i="1"/>
  <c r="Q23" i="1"/>
  <c r="P23" i="1"/>
  <c r="O23" i="1"/>
  <c r="N23" i="1"/>
  <c r="M23" i="1"/>
  <c r="L23" i="1"/>
  <c r="K152" i="1"/>
  <c r="J152" i="1"/>
  <c r="I152" i="1"/>
  <c r="H152" i="1"/>
  <c r="K151" i="1"/>
  <c r="J151" i="1"/>
  <c r="I151" i="1"/>
  <c r="H151" i="1"/>
  <c r="K150" i="1"/>
  <c r="J150" i="1"/>
  <c r="I150" i="1"/>
  <c r="H150" i="1"/>
  <c r="K149" i="1"/>
  <c r="J149" i="1"/>
  <c r="I149" i="1"/>
  <c r="H149" i="1"/>
  <c r="K148" i="1"/>
  <c r="J148" i="1"/>
  <c r="I148" i="1"/>
  <c r="H148" i="1"/>
  <c r="K147" i="1"/>
  <c r="J147" i="1"/>
  <c r="I147" i="1"/>
  <c r="H147" i="1"/>
  <c r="K146" i="1"/>
  <c r="J146" i="1"/>
  <c r="I146" i="1"/>
  <c r="H146" i="1"/>
  <c r="K145" i="1"/>
  <c r="J145" i="1"/>
  <c r="I145" i="1"/>
  <c r="H145" i="1"/>
  <c r="K144" i="1"/>
  <c r="J144" i="1"/>
  <c r="I144" i="1"/>
  <c r="H144" i="1"/>
  <c r="K143" i="1"/>
  <c r="J143" i="1"/>
  <c r="I143" i="1"/>
  <c r="H143" i="1"/>
  <c r="K142" i="1"/>
  <c r="J142" i="1"/>
  <c r="I142" i="1"/>
  <c r="H142" i="1"/>
  <c r="K141" i="1"/>
  <c r="J141" i="1"/>
  <c r="I141" i="1"/>
  <c r="H141" i="1"/>
  <c r="K140" i="1"/>
  <c r="J140" i="1"/>
  <c r="I140" i="1"/>
  <c r="H140" i="1"/>
  <c r="K139" i="1"/>
  <c r="J139" i="1"/>
  <c r="I139" i="1"/>
  <c r="H139" i="1"/>
  <c r="K138" i="1"/>
  <c r="J138" i="1"/>
  <c r="I138" i="1"/>
  <c r="H138" i="1"/>
  <c r="K137" i="1"/>
  <c r="J137" i="1"/>
  <c r="I137" i="1"/>
  <c r="H137" i="1"/>
  <c r="K136" i="1"/>
  <c r="J136" i="1"/>
  <c r="I136" i="1"/>
  <c r="H136" i="1"/>
  <c r="K135" i="1"/>
  <c r="J135" i="1"/>
  <c r="I135" i="1"/>
  <c r="H135" i="1"/>
  <c r="K134" i="1"/>
  <c r="J134" i="1"/>
  <c r="I134" i="1"/>
  <c r="H134" i="1"/>
  <c r="K133" i="1"/>
  <c r="J133" i="1"/>
  <c r="I133" i="1"/>
  <c r="H133" i="1"/>
  <c r="K132" i="1"/>
  <c r="J132" i="1"/>
  <c r="I132" i="1"/>
  <c r="H132" i="1"/>
  <c r="K131" i="1"/>
  <c r="J131" i="1"/>
  <c r="I131" i="1"/>
  <c r="H131" i="1"/>
  <c r="K130" i="1"/>
  <c r="J130" i="1"/>
  <c r="I130" i="1"/>
  <c r="H130" i="1"/>
  <c r="K129" i="1"/>
  <c r="J129" i="1"/>
  <c r="I129" i="1"/>
  <c r="H129" i="1"/>
  <c r="K128" i="1"/>
  <c r="J128" i="1"/>
  <c r="I128" i="1"/>
  <c r="H128" i="1"/>
  <c r="K127" i="1"/>
  <c r="J127" i="1"/>
  <c r="I127" i="1"/>
  <c r="H127" i="1"/>
  <c r="K126" i="1"/>
  <c r="J126" i="1"/>
  <c r="I126" i="1"/>
  <c r="H126" i="1"/>
  <c r="K125" i="1"/>
  <c r="J125" i="1"/>
  <c r="I125" i="1"/>
  <c r="H125" i="1"/>
  <c r="K124" i="1"/>
  <c r="J124" i="1"/>
  <c r="I124" i="1"/>
  <c r="H124" i="1"/>
  <c r="K123" i="1"/>
  <c r="J123" i="1"/>
  <c r="I123" i="1"/>
  <c r="H123" i="1"/>
  <c r="K122" i="1"/>
  <c r="J122" i="1"/>
  <c r="I122" i="1"/>
  <c r="H122" i="1"/>
  <c r="K121" i="1"/>
  <c r="J121" i="1"/>
  <c r="I121" i="1"/>
  <c r="H121" i="1"/>
  <c r="K120" i="1"/>
  <c r="J120" i="1"/>
  <c r="I120" i="1"/>
  <c r="H120" i="1"/>
  <c r="K119" i="1"/>
  <c r="J119" i="1"/>
  <c r="I119" i="1"/>
  <c r="H119" i="1"/>
  <c r="K118" i="1"/>
  <c r="J118" i="1"/>
  <c r="I118" i="1"/>
  <c r="H118" i="1"/>
  <c r="K117" i="1"/>
  <c r="J117" i="1"/>
  <c r="I117" i="1"/>
  <c r="H117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K153" i="1" s="1"/>
  <c r="J104" i="1"/>
  <c r="J153" i="1" s="1"/>
  <c r="I104" i="1"/>
  <c r="I153" i="1" s="1"/>
  <c r="H104" i="1"/>
  <c r="H153" i="1" s="1"/>
  <c r="K101" i="1"/>
  <c r="J101" i="1"/>
  <c r="I101" i="1"/>
  <c r="H101" i="1"/>
  <c r="K100" i="1"/>
  <c r="J100" i="1"/>
  <c r="I100" i="1"/>
  <c r="H100" i="1"/>
  <c r="K99" i="1"/>
  <c r="J99" i="1"/>
  <c r="I99" i="1"/>
  <c r="H99" i="1"/>
  <c r="K98" i="1"/>
  <c r="J98" i="1"/>
  <c r="I98" i="1"/>
  <c r="H98" i="1"/>
  <c r="K97" i="1"/>
  <c r="J97" i="1"/>
  <c r="I97" i="1"/>
  <c r="H97" i="1"/>
  <c r="K96" i="1"/>
  <c r="J96" i="1"/>
  <c r="I96" i="1"/>
  <c r="H96" i="1"/>
  <c r="K95" i="1"/>
  <c r="J95" i="1"/>
  <c r="I95" i="1"/>
  <c r="H95" i="1"/>
  <c r="K94" i="1"/>
  <c r="J94" i="1"/>
  <c r="I94" i="1"/>
  <c r="H94" i="1"/>
  <c r="K93" i="1"/>
  <c r="J93" i="1"/>
  <c r="I93" i="1"/>
  <c r="H93" i="1"/>
  <c r="K92" i="1"/>
  <c r="J92" i="1"/>
  <c r="I92" i="1"/>
  <c r="H92" i="1"/>
  <c r="K91" i="1"/>
  <c r="J91" i="1"/>
  <c r="I91" i="1"/>
  <c r="H91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K102" i="1" s="1"/>
  <c r="J66" i="1"/>
  <c r="J102" i="1" s="1"/>
  <c r="I66" i="1"/>
  <c r="I102" i="1" s="1"/>
  <c r="H66" i="1"/>
  <c r="H102" i="1" s="1"/>
  <c r="H24" i="1"/>
  <c r="I24" i="1"/>
  <c r="J24" i="1"/>
  <c r="K24" i="1"/>
  <c r="H25" i="1"/>
  <c r="I25" i="1"/>
  <c r="J25" i="1"/>
  <c r="K25" i="1"/>
  <c r="H26" i="1"/>
  <c r="I26" i="1"/>
  <c r="J26" i="1"/>
  <c r="K26" i="1"/>
  <c r="H27" i="1"/>
  <c r="I27" i="1"/>
  <c r="J27" i="1"/>
  <c r="K27" i="1"/>
  <c r="H28" i="1"/>
  <c r="I28" i="1"/>
  <c r="J28" i="1"/>
  <c r="K28" i="1"/>
  <c r="H29" i="1"/>
  <c r="I29" i="1"/>
  <c r="J29" i="1"/>
  <c r="K29" i="1"/>
  <c r="H30" i="1"/>
  <c r="I30" i="1"/>
  <c r="J30" i="1"/>
  <c r="K30" i="1"/>
  <c r="H31" i="1"/>
  <c r="I31" i="1"/>
  <c r="J31" i="1"/>
  <c r="K31" i="1"/>
  <c r="H32" i="1"/>
  <c r="I32" i="1"/>
  <c r="J32" i="1"/>
  <c r="K32" i="1"/>
  <c r="H33" i="1"/>
  <c r="I33" i="1"/>
  <c r="J33" i="1"/>
  <c r="K33" i="1"/>
  <c r="H34" i="1"/>
  <c r="I34" i="1"/>
  <c r="J34" i="1"/>
  <c r="K34" i="1"/>
  <c r="H35" i="1"/>
  <c r="I35" i="1"/>
  <c r="J35" i="1"/>
  <c r="K35" i="1"/>
  <c r="H36" i="1"/>
  <c r="I36" i="1"/>
  <c r="J36" i="1"/>
  <c r="K36" i="1"/>
  <c r="H37" i="1"/>
  <c r="I37" i="1"/>
  <c r="J37" i="1"/>
  <c r="K37" i="1"/>
  <c r="H38" i="1"/>
  <c r="I38" i="1"/>
  <c r="J38" i="1"/>
  <c r="K38" i="1"/>
  <c r="H39" i="1"/>
  <c r="I39" i="1"/>
  <c r="J39" i="1"/>
  <c r="K39" i="1"/>
  <c r="H40" i="1"/>
  <c r="I40" i="1"/>
  <c r="J40" i="1"/>
  <c r="K40" i="1"/>
  <c r="H41" i="1"/>
  <c r="I41" i="1"/>
  <c r="J41" i="1"/>
  <c r="K41" i="1"/>
  <c r="H42" i="1"/>
  <c r="I42" i="1"/>
  <c r="J42" i="1"/>
  <c r="K42" i="1"/>
  <c r="H43" i="1"/>
  <c r="I43" i="1"/>
  <c r="J43" i="1"/>
  <c r="K43" i="1"/>
  <c r="H44" i="1"/>
  <c r="I44" i="1"/>
  <c r="J44" i="1"/>
  <c r="K44" i="1"/>
  <c r="H45" i="1"/>
  <c r="I45" i="1"/>
  <c r="J45" i="1"/>
  <c r="K45" i="1"/>
  <c r="H46" i="1"/>
  <c r="I46" i="1"/>
  <c r="J46" i="1"/>
  <c r="K46" i="1"/>
  <c r="H47" i="1"/>
  <c r="I47" i="1"/>
  <c r="J47" i="1"/>
  <c r="K47" i="1"/>
  <c r="H48" i="1"/>
  <c r="I48" i="1"/>
  <c r="J48" i="1"/>
  <c r="K48" i="1"/>
  <c r="H49" i="1"/>
  <c r="I49" i="1"/>
  <c r="J49" i="1"/>
  <c r="K49" i="1"/>
  <c r="H50" i="1"/>
  <c r="I50" i="1"/>
  <c r="J50" i="1"/>
  <c r="K50" i="1"/>
  <c r="H51" i="1"/>
  <c r="I51" i="1"/>
  <c r="J51" i="1"/>
  <c r="K51" i="1"/>
  <c r="H52" i="1"/>
  <c r="I52" i="1"/>
  <c r="J52" i="1"/>
  <c r="K52" i="1"/>
  <c r="H53" i="1"/>
  <c r="I53" i="1"/>
  <c r="J53" i="1"/>
  <c r="K53" i="1"/>
  <c r="H54" i="1"/>
  <c r="I54" i="1"/>
  <c r="J54" i="1"/>
  <c r="K54" i="1"/>
  <c r="H55" i="1"/>
  <c r="I55" i="1"/>
  <c r="J55" i="1"/>
  <c r="K55" i="1"/>
  <c r="H56" i="1"/>
  <c r="I56" i="1"/>
  <c r="J56" i="1"/>
  <c r="K56" i="1"/>
  <c r="H57" i="1"/>
  <c r="I57" i="1"/>
  <c r="J57" i="1"/>
  <c r="K57" i="1"/>
  <c r="H58" i="1"/>
  <c r="I58" i="1"/>
  <c r="J58" i="1"/>
  <c r="K58" i="1"/>
  <c r="H59" i="1"/>
  <c r="I59" i="1"/>
  <c r="J59" i="1"/>
  <c r="K59" i="1"/>
  <c r="H60" i="1"/>
  <c r="I60" i="1"/>
  <c r="J60" i="1"/>
  <c r="K60" i="1"/>
  <c r="H61" i="1"/>
  <c r="I61" i="1"/>
  <c r="J61" i="1"/>
  <c r="K61" i="1"/>
  <c r="H62" i="1"/>
  <c r="I62" i="1"/>
  <c r="J62" i="1"/>
  <c r="K62" i="1"/>
  <c r="H63" i="1"/>
  <c r="I63" i="1"/>
  <c r="J63" i="1"/>
  <c r="K63" i="1"/>
  <c r="K23" i="1"/>
  <c r="J23" i="1"/>
  <c r="I23" i="1"/>
  <c r="H23" i="1"/>
  <c r="F243" i="1"/>
  <c r="D243" i="1"/>
  <c r="G242" i="1"/>
  <c r="F242" i="1"/>
  <c r="E242" i="1"/>
  <c r="G241" i="1"/>
  <c r="F241" i="1"/>
  <c r="E241" i="1"/>
  <c r="D241" i="1"/>
  <c r="F240" i="1"/>
  <c r="D240" i="1"/>
  <c r="G239" i="1"/>
  <c r="F239" i="1"/>
  <c r="E239" i="1"/>
  <c r="D239" i="1"/>
  <c r="G238" i="1"/>
  <c r="F238" i="1"/>
  <c r="E238" i="1"/>
  <c r="D238" i="1"/>
  <c r="G237" i="1"/>
  <c r="F237" i="1"/>
  <c r="E237" i="1"/>
  <c r="D237" i="1"/>
  <c r="G236" i="1"/>
  <c r="F236" i="1"/>
  <c r="E236" i="1"/>
  <c r="D236" i="1"/>
  <c r="G235" i="1"/>
  <c r="F235" i="1"/>
  <c r="E235" i="1"/>
  <c r="D235" i="1"/>
  <c r="G234" i="1"/>
  <c r="F234" i="1"/>
  <c r="E234" i="1"/>
  <c r="D234" i="1"/>
  <c r="G233" i="1"/>
  <c r="F233" i="1"/>
  <c r="E233" i="1"/>
  <c r="D233" i="1"/>
  <c r="G232" i="1"/>
  <c r="F232" i="1"/>
  <c r="E232" i="1"/>
  <c r="D232" i="1"/>
  <c r="G231" i="1"/>
  <c r="F231" i="1"/>
  <c r="E231" i="1"/>
  <c r="D231" i="1"/>
  <c r="G230" i="1"/>
  <c r="F230" i="1"/>
  <c r="E230" i="1"/>
  <c r="D230" i="1"/>
  <c r="G229" i="1"/>
  <c r="F229" i="1"/>
  <c r="E229" i="1"/>
  <c r="D229" i="1"/>
  <c r="G228" i="1"/>
  <c r="F228" i="1"/>
  <c r="E228" i="1"/>
  <c r="D228" i="1"/>
  <c r="G227" i="1"/>
  <c r="F227" i="1"/>
  <c r="E227" i="1"/>
  <c r="D227" i="1"/>
  <c r="G226" i="1"/>
  <c r="F226" i="1"/>
  <c r="E226" i="1"/>
  <c r="D226" i="1"/>
  <c r="G225" i="1"/>
  <c r="F225" i="1"/>
  <c r="E225" i="1"/>
  <c r="D225" i="1"/>
  <c r="F224" i="1"/>
  <c r="D224" i="1"/>
  <c r="G223" i="1"/>
  <c r="F223" i="1"/>
  <c r="E223" i="1"/>
  <c r="D223" i="1"/>
  <c r="G222" i="1"/>
  <c r="F222" i="1"/>
  <c r="E222" i="1"/>
  <c r="D222" i="1"/>
  <c r="G221" i="1"/>
  <c r="F221" i="1"/>
  <c r="E221" i="1"/>
  <c r="D221" i="1"/>
  <c r="G220" i="1"/>
  <c r="F220" i="1"/>
  <c r="E220" i="1"/>
  <c r="D220" i="1"/>
  <c r="G219" i="1"/>
  <c r="F219" i="1"/>
  <c r="E219" i="1"/>
  <c r="D219" i="1"/>
  <c r="G218" i="1"/>
  <c r="F218" i="1"/>
  <c r="E218" i="1"/>
  <c r="D218" i="1"/>
  <c r="G217" i="1"/>
  <c r="F217" i="1"/>
  <c r="E217" i="1"/>
  <c r="D217" i="1"/>
  <c r="G216" i="1"/>
  <c r="F216" i="1"/>
  <c r="E216" i="1"/>
  <c r="D216" i="1"/>
  <c r="G215" i="1"/>
  <c r="F215" i="1"/>
  <c r="E215" i="1"/>
  <c r="D215" i="1"/>
  <c r="F214" i="1"/>
  <c r="D214" i="1"/>
  <c r="G213" i="1"/>
  <c r="F213" i="1"/>
  <c r="E213" i="1"/>
  <c r="D213" i="1"/>
  <c r="G212" i="1"/>
  <c r="F212" i="1"/>
  <c r="E212" i="1"/>
  <c r="D212" i="1"/>
  <c r="G211" i="1"/>
  <c r="F211" i="1"/>
  <c r="E211" i="1"/>
  <c r="D211" i="1"/>
  <c r="G210" i="1"/>
  <c r="F210" i="1"/>
  <c r="D210" i="1"/>
  <c r="G209" i="1"/>
  <c r="F209" i="1"/>
  <c r="E209" i="1"/>
  <c r="D209" i="1"/>
  <c r="F208" i="1"/>
  <c r="D208" i="1"/>
  <c r="G207" i="1"/>
  <c r="F207" i="1"/>
  <c r="E207" i="1"/>
  <c r="D207" i="1"/>
  <c r="G206" i="1"/>
  <c r="F206" i="1"/>
  <c r="E206" i="1"/>
  <c r="D206" i="1"/>
  <c r="G205" i="1"/>
  <c r="F205" i="1"/>
  <c r="E205" i="1"/>
  <c r="D205" i="1"/>
  <c r="G204" i="1"/>
  <c r="F204" i="1"/>
  <c r="E204" i="1"/>
  <c r="D204" i="1"/>
  <c r="G201" i="1"/>
  <c r="F201" i="1"/>
  <c r="E201" i="1"/>
  <c r="D201" i="1"/>
  <c r="G200" i="1"/>
  <c r="F200" i="1"/>
  <c r="E200" i="1"/>
  <c r="D200" i="1"/>
  <c r="G199" i="1"/>
  <c r="F199" i="1"/>
  <c r="E199" i="1"/>
  <c r="D199" i="1"/>
  <c r="G198" i="1"/>
  <c r="F198" i="1"/>
  <c r="E198" i="1"/>
  <c r="D198" i="1"/>
  <c r="G197" i="1"/>
  <c r="F197" i="1"/>
  <c r="E197" i="1"/>
  <c r="D197" i="1"/>
  <c r="G194" i="1"/>
  <c r="F194" i="1"/>
  <c r="E194" i="1"/>
  <c r="D194" i="1"/>
  <c r="G193" i="1"/>
  <c r="F193" i="1"/>
  <c r="E193" i="1"/>
  <c r="D193" i="1"/>
  <c r="G192" i="1"/>
  <c r="F192" i="1"/>
  <c r="E192" i="1"/>
  <c r="D192" i="1"/>
  <c r="G191" i="1"/>
  <c r="F191" i="1"/>
  <c r="E191" i="1"/>
  <c r="D191" i="1"/>
  <c r="G190" i="1"/>
  <c r="F190" i="1"/>
  <c r="E190" i="1"/>
  <c r="D190" i="1"/>
  <c r="G189" i="1"/>
  <c r="F189" i="1"/>
  <c r="E189" i="1"/>
  <c r="D189" i="1"/>
  <c r="G188" i="1"/>
  <c r="F188" i="1"/>
  <c r="E188" i="1"/>
  <c r="D188" i="1"/>
  <c r="G187" i="1"/>
  <c r="G195" i="1" s="1"/>
  <c r="F187" i="1"/>
  <c r="E187" i="1"/>
  <c r="D187" i="1"/>
  <c r="G184" i="1"/>
  <c r="F184" i="1"/>
  <c r="E184" i="1"/>
  <c r="D184" i="1"/>
  <c r="G183" i="1"/>
  <c r="F183" i="1"/>
  <c r="E183" i="1"/>
  <c r="D183" i="1"/>
  <c r="F182" i="1"/>
  <c r="D182" i="1"/>
  <c r="G181" i="1"/>
  <c r="F181" i="1"/>
  <c r="E181" i="1"/>
  <c r="D181" i="1"/>
  <c r="G180" i="1"/>
  <c r="F180" i="1"/>
  <c r="E180" i="1"/>
  <c r="D180" i="1"/>
  <c r="F179" i="1"/>
  <c r="D179" i="1"/>
  <c r="F178" i="1"/>
  <c r="D178" i="1"/>
  <c r="G177" i="1"/>
  <c r="F177" i="1"/>
  <c r="E177" i="1"/>
  <c r="D177" i="1"/>
  <c r="G176" i="1"/>
  <c r="F176" i="1"/>
  <c r="E176" i="1"/>
  <c r="D176" i="1"/>
  <c r="G175" i="1"/>
  <c r="F175" i="1"/>
  <c r="E175" i="1"/>
  <c r="D175" i="1"/>
  <c r="F174" i="1"/>
  <c r="D174" i="1"/>
  <c r="G173" i="1"/>
  <c r="F173" i="1"/>
  <c r="E173" i="1"/>
  <c r="D173" i="1"/>
  <c r="G172" i="1"/>
  <c r="F172" i="1"/>
  <c r="E172" i="1"/>
  <c r="D172" i="1"/>
  <c r="G171" i="1"/>
  <c r="F171" i="1"/>
  <c r="E171" i="1"/>
  <c r="D171" i="1"/>
  <c r="G170" i="1"/>
  <c r="F170" i="1"/>
  <c r="E170" i="1"/>
  <c r="D170" i="1"/>
  <c r="G169" i="1"/>
  <c r="F169" i="1"/>
  <c r="E169" i="1"/>
  <c r="D169" i="1"/>
  <c r="G168" i="1"/>
  <c r="F168" i="1"/>
  <c r="E168" i="1"/>
  <c r="D168" i="1"/>
  <c r="F167" i="1"/>
  <c r="D167" i="1"/>
  <c r="G166" i="1"/>
  <c r="F166" i="1"/>
  <c r="E166" i="1"/>
  <c r="D166" i="1"/>
  <c r="G165" i="1"/>
  <c r="F165" i="1"/>
  <c r="E165" i="1"/>
  <c r="D165" i="1"/>
  <c r="G164" i="1"/>
  <c r="F164" i="1"/>
  <c r="E164" i="1"/>
  <c r="D164" i="1"/>
  <c r="G163" i="1"/>
  <c r="F163" i="1"/>
  <c r="E163" i="1"/>
  <c r="D163" i="1"/>
  <c r="G162" i="1"/>
  <c r="F162" i="1"/>
  <c r="E162" i="1"/>
  <c r="D162" i="1"/>
  <c r="G161" i="1"/>
  <c r="F161" i="1"/>
  <c r="E161" i="1"/>
  <c r="D161" i="1"/>
  <c r="G160" i="1"/>
  <c r="F160" i="1"/>
  <c r="E160" i="1"/>
  <c r="D160" i="1"/>
  <c r="G159" i="1"/>
  <c r="F159" i="1"/>
  <c r="E159" i="1"/>
  <c r="D159" i="1"/>
  <c r="G158" i="1"/>
  <c r="F158" i="1"/>
  <c r="E158" i="1"/>
  <c r="D158" i="1"/>
  <c r="G157" i="1"/>
  <c r="F157" i="1"/>
  <c r="E157" i="1"/>
  <c r="D157" i="1"/>
  <c r="G156" i="1"/>
  <c r="F156" i="1"/>
  <c r="E156" i="1"/>
  <c r="D156" i="1"/>
  <c r="F155" i="1"/>
  <c r="D155" i="1"/>
  <c r="G152" i="1"/>
  <c r="F152" i="1"/>
  <c r="E152" i="1"/>
  <c r="D152" i="1"/>
  <c r="G151" i="1"/>
  <c r="F151" i="1"/>
  <c r="E151" i="1"/>
  <c r="D151" i="1"/>
  <c r="G150" i="1"/>
  <c r="F150" i="1"/>
  <c r="D150" i="1"/>
  <c r="G149" i="1"/>
  <c r="F149" i="1"/>
  <c r="E149" i="1"/>
  <c r="D149" i="1"/>
  <c r="G148" i="1"/>
  <c r="F148" i="1"/>
  <c r="D148" i="1"/>
  <c r="G147" i="1"/>
  <c r="F147" i="1"/>
  <c r="D147" i="1"/>
  <c r="G146" i="1"/>
  <c r="F146" i="1"/>
  <c r="E146" i="1"/>
  <c r="D146" i="1"/>
  <c r="G145" i="1"/>
  <c r="F145" i="1"/>
  <c r="D145" i="1"/>
  <c r="G144" i="1"/>
  <c r="F144" i="1"/>
  <c r="E144" i="1"/>
  <c r="D144" i="1"/>
  <c r="G143" i="1"/>
  <c r="F143" i="1"/>
  <c r="E143" i="1"/>
  <c r="D143" i="1"/>
  <c r="G142" i="1"/>
  <c r="F142" i="1"/>
  <c r="D142" i="1"/>
  <c r="G141" i="1"/>
  <c r="F141" i="1"/>
  <c r="E141" i="1"/>
  <c r="D141" i="1"/>
  <c r="G140" i="1"/>
  <c r="F140" i="1"/>
  <c r="E140" i="1"/>
  <c r="D140" i="1"/>
  <c r="G139" i="1"/>
  <c r="F139" i="1"/>
  <c r="E139" i="1"/>
  <c r="D139" i="1"/>
  <c r="G138" i="1"/>
  <c r="F138" i="1"/>
  <c r="E138" i="1"/>
  <c r="D138" i="1"/>
  <c r="G137" i="1"/>
  <c r="F137" i="1"/>
  <c r="E137" i="1"/>
  <c r="D137" i="1"/>
  <c r="G136" i="1"/>
  <c r="F136" i="1"/>
  <c r="E136" i="1"/>
  <c r="D136" i="1"/>
  <c r="G135" i="1"/>
  <c r="F135" i="1"/>
  <c r="E135" i="1"/>
  <c r="D135" i="1"/>
  <c r="G134" i="1"/>
  <c r="F134" i="1"/>
  <c r="E134" i="1"/>
  <c r="D134" i="1"/>
  <c r="G133" i="1"/>
  <c r="F133" i="1"/>
  <c r="E133" i="1"/>
  <c r="D133" i="1"/>
  <c r="G132" i="1"/>
  <c r="F132" i="1"/>
  <c r="E132" i="1"/>
  <c r="D132" i="1"/>
  <c r="F131" i="1"/>
  <c r="D131" i="1"/>
  <c r="G130" i="1"/>
  <c r="F130" i="1"/>
  <c r="E130" i="1"/>
  <c r="D130" i="1"/>
  <c r="G129" i="1"/>
  <c r="F129" i="1"/>
  <c r="E129" i="1"/>
  <c r="D129" i="1"/>
  <c r="G128" i="1"/>
  <c r="F128" i="1"/>
  <c r="E128" i="1"/>
  <c r="D128" i="1"/>
  <c r="G127" i="1"/>
  <c r="F127" i="1"/>
  <c r="E127" i="1"/>
  <c r="D127" i="1"/>
  <c r="G126" i="1"/>
  <c r="F126" i="1"/>
  <c r="D126" i="1"/>
  <c r="F125" i="1"/>
  <c r="D125" i="1"/>
  <c r="G124" i="1"/>
  <c r="F124" i="1"/>
  <c r="D124" i="1"/>
  <c r="G123" i="1"/>
  <c r="F123" i="1"/>
  <c r="E123" i="1"/>
  <c r="D123" i="1"/>
  <c r="G122" i="1"/>
  <c r="F122" i="1"/>
  <c r="E122" i="1"/>
  <c r="D122" i="1"/>
  <c r="G121" i="1"/>
  <c r="F121" i="1"/>
  <c r="E121" i="1"/>
  <c r="D121" i="1"/>
  <c r="G120" i="1"/>
  <c r="F120" i="1"/>
  <c r="E120" i="1"/>
  <c r="D120" i="1"/>
  <c r="G119" i="1"/>
  <c r="F119" i="1"/>
  <c r="E119" i="1"/>
  <c r="D119" i="1"/>
  <c r="G118" i="1"/>
  <c r="F118" i="1"/>
  <c r="E118" i="1"/>
  <c r="D118" i="1"/>
  <c r="G117" i="1"/>
  <c r="F117" i="1"/>
  <c r="E117" i="1"/>
  <c r="D117" i="1"/>
  <c r="G116" i="1"/>
  <c r="F116" i="1"/>
  <c r="E116" i="1"/>
  <c r="D116" i="1"/>
  <c r="G115" i="1"/>
  <c r="F115" i="1"/>
  <c r="E115" i="1"/>
  <c r="D115" i="1"/>
  <c r="G114" i="1"/>
  <c r="F114" i="1"/>
  <c r="E114" i="1"/>
  <c r="D114" i="1"/>
  <c r="G113" i="1"/>
  <c r="F113" i="1"/>
  <c r="E113" i="1"/>
  <c r="D113" i="1"/>
  <c r="F112" i="1"/>
  <c r="D112" i="1"/>
  <c r="F111" i="1"/>
  <c r="D111" i="1"/>
  <c r="G110" i="1"/>
  <c r="F110" i="1"/>
  <c r="E110" i="1"/>
  <c r="D110" i="1"/>
  <c r="F109" i="1"/>
  <c r="D109" i="1"/>
  <c r="F108" i="1"/>
  <c r="D108" i="1"/>
  <c r="F107" i="1"/>
  <c r="D107" i="1"/>
  <c r="G106" i="1"/>
  <c r="F106" i="1"/>
  <c r="E106" i="1"/>
  <c r="D106" i="1"/>
  <c r="F105" i="1"/>
  <c r="D105" i="1"/>
  <c r="F104" i="1"/>
  <c r="D104" i="1"/>
  <c r="D67" i="1"/>
  <c r="F67" i="1"/>
  <c r="D68" i="1"/>
  <c r="F68" i="1"/>
  <c r="D69" i="1"/>
  <c r="E69" i="1"/>
  <c r="F69" i="1"/>
  <c r="G69" i="1"/>
  <c r="D70" i="1"/>
  <c r="E70" i="1"/>
  <c r="F70" i="1"/>
  <c r="G70" i="1"/>
  <c r="D71" i="1"/>
  <c r="E71" i="1"/>
  <c r="F71" i="1"/>
  <c r="G71" i="1"/>
  <c r="D72" i="1"/>
  <c r="E72" i="1"/>
  <c r="F72" i="1"/>
  <c r="G72" i="1"/>
  <c r="D73" i="1"/>
  <c r="E73" i="1"/>
  <c r="F73" i="1"/>
  <c r="G73" i="1"/>
  <c r="D75" i="1"/>
  <c r="F75" i="1"/>
  <c r="D76" i="1"/>
  <c r="E76" i="1"/>
  <c r="F76" i="1"/>
  <c r="G76" i="1"/>
  <c r="D77" i="1"/>
  <c r="E77" i="1"/>
  <c r="F77" i="1"/>
  <c r="G77" i="1"/>
  <c r="D78" i="1"/>
  <c r="E78" i="1"/>
  <c r="F78" i="1"/>
  <c r="G78" i="1"/>
  <c r="D79" i="1"/>
  <c r="E79" i="1"/>
  <c r="F79" i="1"/>
  <c r="G79" i="1"/>
  <c r="D80" i="1"/>
  <c r="E80" i="1"/>
  <c r="F80" i="1"/>
  <c r="G80" i="1"/>
  <c r="D81" i="1"/>
  <c r="E81" i="1"/>
  <c r="F81" i="1"/>
  <c r="G81" i="1"/>
  <c r="D82" i="1"/>
  <c r="E82" i="1"/>
  <c r="F82" i="1"/>
  <c r="G82" i="1"/>
  <c r="D83" i="1"/>
  <c r="F83" i="1"/>
  <c r="D84" i="1"/>
  <c r="E84" i="1"/>
  <c r="F84" i="1"/>
  <c r="G84" i="1"/>
  <c r="D85" i="1"/>
  <c r="F85" i="1"/>
  <c r="D86" i="1"/>
  <c r="E86" i="1"/>
  <c r="F86" i="1"/>
  <c r="G86" i="1"/>
  <c r="D87" i="1"/>
  <c r="E87" i="1"/>
  <c r="F87" i="1"/>
  <c r="G87" i="1"/>
  <c r="D88" i="1"/>
  <c r="E88" i="1"/>
  <c r="F88" i="1"/>
  <c r="G88" i="1"/>
  <c r="D89" i="1"/>
  <c r="E89" i="1"/>
  <c r="F89" i="1"/>
  <c r="G89" i="1"/>
  <c r="D90" i="1"/>
  <c r="E90" i="1"/>
  <c r="F90" i="1"/>
  <c r="G90" i="1"/>
  <c r="D91" i="1"/>
  <c r="E91" i="1"/>
  <c r="F91" i="1"/>
  <c r="G91" i="1"/>
  <c r="D92" i="1"/>
  <c r="E92" i="1"/>
  <c r="F92" i="1"/>
  <c r="G92" i="1"/>
  <c r="D93" i="1"/>
  <c r="E93" i="1"/>
  <c r="F93" i="1"/>
  <c r="G93" i="1"/>
  <c r="D94" i="1"/>
  <c r="E94" i="1"/>
  <c r="F94" i="1"/>
  <c r="G94" i="1"/>
  <c r="D95" i="1"/>
  <c r="E95" i="1"/>
  <c r="F95" i="1"/>
  <c r="G95" i="1"/>
  <c r="D96" i="1"/>
  <c r="E96" i="1"/>
  <c r="F96" i="1"/>
  <c r="G96" i="1"/>
  <c r="D97" i="1"/>
  <c r="E97" i="1"/>
  <c r="F97" i="1"/>
  <c r="G97" i="1"/>
  <c r="D98" i="1"/>
  <c r="E98" i="1"/>
  <c r="F98" i="1"/>
  <c r="G98" i="1"/>
  <c r="D99" i="1"/>
  <c r="F99" i="1"/>
  <c r="D100" i="1"/>
  <c r="E100" i="1"/>
  <c r="F100" i="1"/>
  <c r="G100" i="1"/>
  <c r="D101" i="1"/>
  <c r="E101" i="1"/>
  <c r="F101" i="1"/>
  <c r="G101" i="1"/>
  <c r="F66" i="1"/>
  <c r="D66" i="1"/>
  <c r="D31" i="1"/>
  <c r="E31" i="1"/>
  <c r="F31" i="1"/>
  <c r="G31" i="1"/>
  <c r="D32" i="1"/>
  <c r="F32" i="1"/>
  <c r="D33" i="1"/>
  <c r="E33" i="1"/>
  <c r="F33" i="1"/>
  <c r="G33" i="1"/>
  <c r="D34" i="1"/>
  <c r="F34" i="1"/>
  <c r="D35" i="1"/>
  <c r="E35" i="1"/>
  <c r="F35" i="1"/>
  <c r="G35" i="1"/>
  <c r="D36" i="1"/>
  <c r="F36" i="1"/>
  <c r="D37" i="1"/>
  <c r="E37" i="1"/>
  <c r="F37" i="1"/>
  <c r="G37" i="1"/>
  <c r="D38" i="1"/>
  <c r="E38" i="1"/>
  <c r="F38" i="1"/>
  <c r="G38" i="1"/>
  <c r="D39" i="1"/>
  <c r="E39" i="1"/>
  <c r="F39" i="1"/>
  <c r="G39" i="1"/>
  <c r="D40" i="1"/>
  <c r="F40" i="1"/>
  <c r="D41" i="1"/>
  <c r="F41" i="1"/>
  <c r="D42" i="1"/>
  <c r="E42" i="1"/>
  <c r="F42" i="1"/>
  <c r="G42" i="1"/>
  <c r="D43" i="1"/>
  <c r="F43" i="1"/>
  <c r="G43" i="1"/>
  <c r="D44" i="1"/>
  <c r="E44" i="1"/>
  <c r="F44" i="1"/>
  <c r="G44" i="1"/>
  <c r="D45" i="1"/>
  <c r="F45" i="1"/>
  <c r="D46" i="1"/>
  <c r="E46" i="1"/>
  <c r="F46" i="1"/>
  <c r="G46" i="1"/>
  <c r="D47" i="1"/>
  <c r="E47" i="1"/>
  <c r="F47" i="1"/>
  <c r="G47" i="1"/>
  <c r="D48" i="1"/>
  <c r="E48" i="1"/>
  <c r="F48" i="1"/>
  <c r="G48" i="1"/>
  <c r="D49" i="1"/>
  <c r="E49" i="1"/>
  <c r="F49" i="1"/>
  <c r="G49" i="1"/>
  <c r="D50" i="1"/>
  <c r="E50" i="1"/>
  <c r="F50" i="1"/>
  <c r="G50" i="1"/>
  <c r="D51" i="1"/>
  <c r="E51" i="1"/>
  <c r="F51" i="1"/>
  <c r="G51" i="1"/>
  <c r="D52" i="1"/>
  <c r="E52" i="1"/>
  <c r="F52" i="1"/>
  <c r="G52" i="1"/>
  <c r="D53" i="1"/>
  <c r="E53" i="1"/>
  <c r="F53" i="1"/>
  <c r="G53" i="1"/>
  <c r="D54" i="1"/>
  <c r="E54" i="1"/>
  <c r="F54" i="1"/>
  <c r="G54" i="1"/>
  <c r="D55" i="1"/>
  <c r="E55" i="1"/>
  <c r="F55" i="1"/>
  <c r="G55" i="1"/>
  <c r="D56" i="1"/>
  <c r="F56" i="1"/>
  <c r="D57" i="1"/>
  <c r="E57" i="1"/>
  <c r="F57" i="1"/>
  <c r="G57" i="1"/>
  <c r="D58" i="1"/>
  <c r="F58" i="1"/>
  <c r="D59" i="1"/>
  <c r="F59" i="1"/>
  <c r="D60" i="1"/>
  <c r="E60" i="1"/>
  <c r="F60" i="1"/>
  <c r="G60" i="1"/>
  <c r="D61" i="1"/>
  <c r="E61" i="1"/>
  <c r="F61" i="1"/>
  <c r="G61" i="1"/>
  <c r="D62" i="1"/>
  <c r="E62" i="1"/>
  <c r="F62" i="1"/>
  <c r="G62" i="1"/>
  <c r="D63" i="1"/>
  <c r="E63" i="1"/>
  <c r="F63" i="1"/>
  <c r="G63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F30" i="1"/>
  <c r="G24" i="1"/>
  <c r="G25" i="1"/>
  <c r="G26" i="1"/>
  <c r="G23" i="1"/>
  <c r="F24" i="1"/>
  <c r="F25" i="1"/>
  <c r="F26" i="1"/>
  <c r="F23" i="1"/>
  <c r="E24" i="1"/>
  <c r="E25" i="1"/>
  <c r="E26" i="1"/>
  <c r="D24" i="1"/>
  <c r="D25" i="1"/>
  <c r="D26" i="1"/>
  <c r="E23" i="1"/>
  <c r="D23" i="1"/>
  <c r="E145" i="1"/>
  <c r="G32" i="1"/>
  <c r="E32" i="1"/>
  <c r="G34" i="1"/>
  <c r="E34" i="1"/>
  <c r="G178" i="1"/>
  <c r="E178" i="1"/>
  <c r="G104" i="1"/>
  <c r="E104" i="1"/>
  <c r="D244" i="3"/>
  <c r="E244" i="3"/>
  <c r="F202" i="3"/>
  <c r="E202" i="3"/>
  <c r="D202" i="3"/>
  <c r="F195" i="3"/>
  <c r="E195" i="3"/>
  <c r="D195" i="3"/>
  <c r="F185" i="3"/>
  <c r="D185" i="3"/>
  <c r="G167" i="1"/>
  <c r="E167" i="3"/>
  <c r="E167" i="1" s="1"/>
  <c r="G185" i="3"/>
  <c r="F153" i="3"/>
  <c r="D153" i="3"/>
  <c r="G153" i="3"/>
  <c r="E153" i="3"/>
  <c r="F102" i="3"/>
  <c r="D102" i="3"/>
  <c r="G102" i="3"/>
  <c r="E102" i="3"/>
  <c r="F64" i="3"/>
  <c r="D64" i="3"/>
  <c r="G64" i="3"/>
  <c r="E64" i="3"/>
  <c r="D241" i="4"/>
  <c r="G243" i="1"/>
  <c r="E243" i="1"/>
  <c r="G240" i="1"/>
  <c r="E240" i="1"/>
  <c r="G224" i="1"/>
  <c r="E224" i="1"/>
  <c r="G214" i="1"/>
  <c r="E214" i="1"/>
  <c r="E210" i="1"/>
  <c r="G241" i="4"/>
  <c r="E241" i="4"/>
  <c r="J199" i="4"/>
  <c r="I199" i="4"/>
  <c r="G199" i="4"/>
  <c r="F199" i="4"/>
  <c r="E199" i="4"/>
  <c r="D199" i="4"/>
  <c r="J192" i="4"/>
  <c r="I192" i="4"/>
  <c r="G192" i="4"/>
  <c r="F192" i="4"/>
  <c r="E192" i="4"/>
  <c r="D192" i="4"/>
  <c r="D182" i="4"/>
  <c r="G182" i="1"/>
  <c r="E182" i="1"/>
  <c r="G179" i="1"/>
  <c r="E179" i="1"/>
  <c r="G174" i="1"/>
  <c r="E174" i="1"/>
  <c r="G182" i="4"/>
  <c r="E182" i="4"/>
  <c r="F150" i="4"/>
  <c r="D150" i="4"/>
  <c r="E150" i="1"/>
  <c r="E148" i="1"/>
  <c r="E147" i="1"/>
  <c r="E142" i="1"/>
  <c r="G131" i="1"/>
  <c r="E131" i="1"/>
  <c r="E126" i="1"/>
  <c r="G125" i="1"/>
  <c r="E125" i="1"/>
  <c r="E124" i="1"/>
  <c r="G112" i="1"/>
  <c r="E112" i="1"/>
  <c r="G111" i="1"/>
  <c r="E111" i="1"/>
  <c r="G109" i="1"/>
  <c r="E109" i="1"/>
  <c r="G108" i="1"/>
  <c r="E108" i="1"/>
  <c r="G107" i="1"/>
  <c r="E107" i="1"/>
  <c r="G105" i="1"/>
  <c r="E105" i="1"/>
  <c r="G150" i="4"/>
  <c r="E150" i="4"/>
  <c r="F99" i="4"/>
  <c r="D99" i="4"/>
  <c r="G99" i="1"/>
  <c r="E99" i="1"/>
  <c r="G85" i="1"/>
  <c r="E82" i="4"/>
  <c r="E85" i="1" s="1"/>
  <c r="G83" i="1"/>
  <c r="E83" i="1"/>
  <c r="G75" i="1"/>
  <c r="E72" i="4"/>
  <c r="E75" i="1" s="1"/>
  <c r="G68" i="1"/>
  <c r="E68" i="1"/>
  <c r="G67" i="1"/>
  <c r="E67" i="1"/>
  <c r="G99" i="4"/>
  <c r="F61" i="4"/>
  <c r="F242" i="4" s="1"/>
  <c r="F243" i="4" s="1"/>
  <c r="F250" i="4" s="1"/>
  <c r="D61" i="4"/>
  <c r="G59" i="1"/>
  <c r="E59" i="1"/>
  <c r="G58" i="1"/>
  <c r="E58" i="1"/>
  <c r="G56" i="1"/>
  <c r="E53" i="4"/>
  <c r="E56" i="1" s="1"/>
  <c r="G45" i="1"/>
  <c r="E45" i="1"/>
  <c r="E43" i="1"/>
  <c r="G41" i="1"/>
  <c r="E41" i="1"/>
  <c r="G40" i="1"/>
  <c r="E40" i="1"/>
  <c r="G36" i="1"/>
  <c r="E36" i="1"/>
  <c r="G30" i="1"/>
  <c r="E30" i="1"/>
  <c r="G61" i="4"/>
  <c r="E61" i="4"/>
  <c r="D89" i="2"/>
  <c r="E89" i="2"/>
  <c r="F89" i="2"/>
  <c r="D90" i="2"/>
  <c r="E90" i="2"/>
  <c r="F90" i="2"/>
  <c r="D93" i="2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O64" i="1" l="1"/>
  <c r="M102" i="1"/>
  <c r="Q102" i="1"/>
  <c r="O153" i="1"/>
  <c r="J195" i="1"/>
  <c r="N195" i="1"/>
  <c r="J202" i="1"/>
  <c r="N202" i="1"/>
  <c r="H244" i="1"/>
  <c r="L244" i="1"/>
  <c r="P244" i="1"/>
  <c r="K64" i="1"/>
  <c r="I185" i="1"/>
  <c r="M185" i="1"/>
  <c r="Q185" i="1"/>
  <c r="L64" i="1"/>
  <c r="P64" i="1"/>
  <c r="N102" i="1"/>
  <c r="L153" i="1"/>
  <c r="P153" i="1"/>
  <c r="K195" i="1"/>
  <c r="O195" i="1"/>
  <c r="K202" i="1"/>
  <c r="O202" i="1"/>
  <c r="I244" i="1"/>
  <c r="M244" i="1"/>
  <c r="Q244" i="1"/>
  <c r="H64" i="1"/>
  <c r="J185" i="1"/>
  <c r="E99" i="4"/>
  <c r="G245" i="3"/>
  <c r="G246" i="3" s="1"/>
  <c r="G252" i="3" s="1"/>
  <c r="E185" i="3"/>
  <c r="I64" i="1"/>
  <c r="M64" i="1"/>
  <c r="Q64" i="1"/>
  <c r="O102" i="1"/>
  <c r="M153" i="1"/>
  <c r="Q153" i="1"/>
  <c r="K185" i="1"/>
  <c r="O185" i="1"/>
  <c r="H195" i="1"/>
  <c r="L195" i="1"/>
  <c r="P195" i="1"/>
  <c r="H202" i="1"/>
  <c r="L202" i="1"/>
  <c r="P202" i="1"/>
  <c r="J244" i="1"/>
  <c r="N244" i="1"/>
  <c r="N185" i="1"/>
  <c r="N64" i="1"/>
  <c r="L102" i="1"/>
  <c r="P102" i="1"/>
  <c r="N153" i="1"/>
  <c r="H185" i="1"/>
  <c r="L185" i="1"/>
  <c r="P185" i="1"/>
  <c r="I195" i="1"/>
  <c r="M195" i="1"/>
  <c r="Q195" i="1"/>
  <c r="I202" i="1"/>
  <c r="M202" i="1"/>
  <c r="Q202" i="1"/>
  <c r="K244" i="1"/>
  <c r="O244" i="1"/>
  <c r="K61" i="4"/>
  <c r="K150" i="4"/>
  <c r="K242" i="4" s="1"/>
  <c r="K243" i="4" s="1"/>
  <c r="K99" i="4"/>
  <c r="K245" i="3"/>
  <c r="K246" i="3" s="1"/>
  <c r="F245" i="3"/>
  <c r="F246" i="3" s="1"/>
  <c r="F252" i="3" s="1"/>
  <c r="I242" i="4"/>
  <c r="I243" i="4" s="1"/>
  <c r="J242" i="4"/>
  <c r="J243" i="4" s="1"/>
  <c r="G242" i="4"/>
  <c r="G243" i="4" s="1"/>
  <c r="G250" i="4" s="1"/>
  <c r="G66" i="1"/>
  <c r="G102" i="1" s="1"/>
  <c r="E66" i="1"/>
  <c r="E102" i="1" s="1"/>
  <c r="E155" i="1"/>
  <c r="E185" i="1" s="1"/>
  <c r="G155" i="1"/>
  <c r="G185" i="1" s="1"/>
  <c r="E208" i="1"/>
  <c r="E244" i="1" s="1"/>
  <c r="G208" i="1"/>
  <c r="G244" i="1" s="1"/>
  <c r="J64" i="1"/>
  <c r="D245" i="3"/>
  <c r="D246" i="3" s="1"/>
  <c r="D252" i="3" s="1"/>
  <c r="D242" i="4"/>
  <c r="D243" i="4" s="1"/>
  <c r="D250" i="4" s="1"/>
  <c r="E245" i="3"/>
  <c r="E246" i="3" s="1"/>
  <c r="E252" i="3" s="1"/>
  <c r="E242" i="4"/>
  <c r="E243" i="4" s="1"/>
  <c r="E250" i="4" s="1"/>
  <c r="E64" i="1"/>
  <c r="F64" i="1"/>
  <c r="G64" i="1"/>
  <c r="D64" i="1"/>
  <c r="F102" i="1"/>
  <c r="D102" i="1"/>
  <c r="E153" i="1"/>
  <c r="F153" i="1"/>
  <c r="G153" i="1"/>
  <c r="D153" i="1"/>
  <c r="F185" i="1"/>
  <c r="D185" i="1"/>
  <c r="E195" i="1"/>
  <c r="F195" i="1"/>
  <c r="D195" i="1"/>
  <c r="E202" i="1"/>
  <c r="F202" i="1"/>
  <c r="G202" i="1"/>
  <c r="D202" i="1"/>
  <c r="F244" i="1"/>
  <c r="D244" i="1"/>
  <c r="K245" i="1" l="1"/>
  <c r="K246" i="1" s="1"/>
  <c r="Q245" i="1"/>
  <c r="Q246" i="1" s="1"/>
  <c r="L245" i="1"/>
  <c r="L246" i="1" s="1"/>
  <c r="O245" i="1"/>
  <c r="O246" i="1" s="1"/>
  <c r="I245" i="1"/>
  <c r="I246" i="1" s="1"/>
  <c r="P245" i="1"/>
  <c r="P246" i="1" s="1"/>
  <c r="N245" i="1"/>
  <c r="N246" i="1" s="1"/>
  <c r="M245" i="1"/>
  <c r="M246" i="1" s="1"/>
  <c r="H245" i="1"/>
  <c r="H246" i="1" s="1"/>
  <c r="J245" i="1"/>
  <c r="J246" i="1" s="1"/>
  <c r="G245" i="1"/>
  <c r="G246" i="1" s="1"/>
  <c r="F245" i="1"/>
  <c r="F246" i="1" s="1"/>
  <c r="E245" i="1"/>
  <c r="E246" i="1" s="1"/>
  <c r="D245" i="1"/>
  <c r="D246" i="1" s="1"/>
  <c r="K32" i="2"/>
  <c r="K33" i="2"/>
  <c r="K34" i="2"/>
  <c r="K35" i="2"/>
  <c r="K36" i="2"/>
  <c r="K37" i="2"/>
  <c r="J33" i="2"/>
  <c r="J34" i="2"/>
  <c r="J35" i="2"/>
  <c r="J36" i="2"/>
  <c r="J37" i="2"/>
  <c r="J32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D33" i="2"/>
  <c r="D34" i="2"/>
  <c r="D35" i="2"/>
  <c r="D36" i="2"/>
  <c r="D37" i="2"/>
  <c r="D32" i="2"/>
  <c r="K23" i="2"/>
  <c r="K24" i="2"/>
  <c r="K25" i="2"/>
  <c r="K26" i="2"/>
  <c r="K27" i="2"/>
  <c r="K28" i="2"/>
  <c r="K29" i="2"/>
  <c r="J24" i="2"/>
  <c r="J25" i="2"/>
  <c r="J26" i="2"/>
  <c r="J27" i="2"/>
  <c r="J28" i="2"/>
  <c r="J29" i="2"/>
  <c r="J23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D28" i="2"/>
  <c r="E28" i="2"/>
  <c r="F28" i="2"/>
  <c r="G28" i="2"/>
  <c r="D29" i="2"/>
  <c r="E29" i="2"/>
  <c r="F29" i="2"/>
  <c r="G29" i="2"/>
  <c r="E23" i="2"/>
  <c r="F23" i="2"/>
  <c r="F30" i="2" s="1"/>
  <c r="G23" i="2"/>
  <c r="G30" i="2" s="1"/>
  <c r="D23" i="2"/>
  <c r="E30" i="2" l="1"/>
  <c r="D30" i="2"/>
  <c r="F73" i="2"/>
  <c r="G73" i="2"/>
  <c r="D73" i="2"/>
  <c r="E73" i="2"/>
  <c r="K117" i="2" l="1"/>
  <c r="K118" i="2"/>
  <c r="K119" i="2"/>
  <c r="K120" i="2"/>
  <c r="K121" i="2"/>
  <c r="K122" i="2"/>
  <c r="K123" i="2"/>
  <c r="K124" i="2"/>
  <c r="K125" i="2"/>
  <c r="K126" i="2"/>
  <c r="K127" i="2"/>
  <c r="K128" i="2"/>
  <c r="J118" i="2"/>
  <c r="J119" i="2"/>
  <c r="J120" i="2"/>
  <c r="J121" i="2"/>
  <c r="J122" i="2"/>
  <c r="J123" i="2"/>
  <c r="J124" i="2"/>
  <c r="J125" i="2"/>
  <c r="J126" i="2"/>
  <c r="J127" i="2"/>
  <c r="J128" i="2"/>
  <c r="J117" i="2"/>
  <c r="E117" i="2"/>
  <c r="F117" i="2"/>
  <c r="G117" i="2"/>
  <c r="E118" i="2"/>
  <c r="F118" i="2"/>
  <c r="F129" i="2" s="1"/>
  <c r="G118" i="2"/>
  <c r="E119" i="2"/>
  <c r="F119" i="2"/>
  <c r="G119" i="2"/>
  <c r="E120" i="2"/>
  <c r="F120" i="2"/>
  <c r="G120" i="2"/>
  <c r="E121" i="2"/>
  <c r="F121" i="2"/>
  <c r="G121" i="2"/>
  <c r="E122" i="2"/>
  <c r="F122" i="2"/>
  <c r="G122" i="2"/>
  <c r="E123" i="2"/>
  <c r="F123" i="2"/>
  <c r="G123" i="2"/>
  <c r="E124" i="2"/>
  <c r="F124" i="2"/>
  <c r="G124" i="2"/>
  <c r="E125" i="2"/>
  <c r="F125" i="2"/>
  <c r="G125" i="2"/>
  <c r="E126" i="2"/>
  <c r="F126" i="2"/>
  <c r="G126" i="2"/>
  <c r="E127" i="2"/>
  <c r="F127" i="2"/>
  <c r="G127" i="2"/>
  <c r="E128" i="2"/>
  <c r="F128" i="2"/>
  <c r="G128" i="2"/>
  <c r="D118" i="2"/>
  <c r="D119" i="2"/>
  <c r="D120" i="2"/>
  <c r="D121" i="2"/>
  <c r="D122" i="2"/>
  <c r="D123" i="2"/>
  <c r="D124" i="2"/>
  <c r="D125" i="2"/>
  <c r="D126" i="2"/>
  <c r="D127" i="2"/>
  <c r="D128" i="2"/>
  <c r="D117" i="2"/>
  <c r="K104" i="2"/>
  <c r="K105" i="2"/>
  <c r="K106" i="2"/>
  <c r="K107" i="2"/>
  <c r="K108" i="2"/>
  <c r="K109" i="2"/>
  <c r="K110" i="2"/>
  <c r="K111" i="2"/>
  <c r="K112" i="2"/>
  <c r="K113" i="2"/>
  <c r="K114" i="2"/>
  <c r="J105" i="2"/>
  <c r="J115" i="2" s="1"/>
  <c r="J106" i="2"/>
  <c r="J107" i="2"/>
  <c r="J108" i="2"/>
  <c r="J109" i="2"/>
  <c r="J110" i="2"/>
  <c r="J111" i="2"/>
  <c r="J112" i="2"/>
  <c r="J113" i="2"/>
  <c r="J114" i="2"/>
  <c r="J104" i="2"/>
  <c r="E104" i="2"/>
  <c r="F104" i="2"/>
  <c r="G104" i="2"/>
  <c r="E105" i="2"/>
  <c r="F105" i="2"/>
  <c r="G105" i="2"/>
  <c r="E106" i="2"/>
  <c r="F106" i="2"/>
  <c r="G106" i="2"/>
  <c r="E107" i="2"/>
  <c r="F107" i="2"/>
  <c r="F115" i="2" s="1"/>
  <c r="G107" i="2"/>
  <c r="E108" i="2"/>
  <c r="F108" i="2"/>
  <c r="G108" i="2"/>
  <c r="E109" i="2"/>
  <c r="F109" i="2"/>
  <c r="G109" i="2"/>
  <c r="E110" i="2"/>
  <c r="F110" i="2"/>
  <c r="G110" i="2"/>
  <c r="E111" i="2"/>
  <c r="F111" i="2"/>
  <c r="G111" i="2"/>
  <c r="E112" i="2"/>
  <c r="F112" i="2"/>
  <c r="G112" i="2"/>
  <c r="E113" i="2"/>
  <c r="F113" i="2"/>
  <c r="G113" i="2"/>
  <c r="E114" i="2"/>
  <c r="F114" i="2"/>
  <c r="G114" i="2"/>
  <c r="D105" i="2"/>
  <c r="D115" i="2" s="1"/>
  <c r="D106" i="2"/>
  <c r="D107" i="2"/>
  <c r="D108" i="2"/>
  <c r="D109" i="2"/>
  <c r="D110" i="2"/>
  <c r="D111" i="2"/>
  <c r="D112" i="2"/>
  <c r="D113" i="2"/>
  <c r="D114" i="2"/>
  <c r="D104" i="2"/>
  <c r="K93" i="2"/>
  <c r="K94" i="2"/>
  <c r="K95" i="2"/>
  <c r="K96" i="2"/>
  <c r="K97" i="2"/>
  <c r="K98" i="2"/>
  <c r="K99" i="2"/>
  <c r="K100" i="2"/>
  <c r="K101" i="2"/>
  <c r="J94" i="2"/>
  <c r="J95" i="2"/>
  <c r="J96" i="2"/>
  <c r="J97" i="2"/>
  <c r="J98" i="2"/>
  <c r="J99" i="2"/>
  <c r="J100" i="2"/>
  <c r="J101" i="2"/>
  <c r="J93" i="2"/>
  <c r="G93" i="2"/>
  <c r="G94" i="2"/>
  <c r="G95" i="2"/>
  <c r="G96" i="2"/>
  <c r="G97" i="2"/>
  <c r="G98" i="2"/>
  <c r="G99" i="2"/>
  <c r="G100" i="2"/>
  <c r="E101" i="2"/>
  <c r="F101" i="2"/>
  <c r="G101" i="2"/>
  <c r="D101" i="2"/>
  <c r="D102" i="2"/>
  <c r="K80" i="2"/>
  <c r="K81" i="2"/>
  <c r="K82" i="2"/>
  <c r="K83" i="2"/>
  <c r="K84" i="2"/>
  <c r="K85" i="2"/>
  <c r="K86" i="2"/>
  <c r="K87" i="2"/>
  <c r="K88" i="2"/>
  <c r="K89" i="2"/>
  <c r="K90" i="2"/>
  <c r="J81" i="2"/>
  <c r="J82" i="2"/>
  <c r="J83" i="2"/>
  <c r="J84" i="2"/>
  <c r="J85" i="2"/>
  <c r="J86" i="2"/>
  <c r="J87" i="2"/>
  <c r="J88" i="2"/>
  <c r="J89" i="2"/>
  <c r="J90" i="2"/>
  <c r="J80" i="2"/>
  <c r="E80" i="2"/>
  <c r="F80" i="2"/>
  <c r="G80" i="2"/>
  <c r="E81" i="2"/>
  <c r="F81" i="2"/>
  <c r="G81" i="2"/>
  <c r="G91" i="2" s="1"/>
  <c r="E82" i="2"/>
  <c r="F82" i="2"/>
  <c r="G82" i="2"/>
  <c r="E83" i="2"/>
  <c r="F83" i="2"/>
  <c r="G83" i="2"/>
  <c r="E84" i="2"/>
  <c r="F84" i="2"/>
  <c r="G84" i="2"/>
  <c r="E85" i="2"/>
  <c r="F85" i="2"/>
  <c r="G85" i="2"/>
  <c r="E86" i="2"/>
  <c r="F86" i="2"/>
  <c r="G86" i="2"/>
  <c r="E87" i="2"/>
  <c r="F87" i="2"/>
  <c r="G87" i="2"/>
  <c r="E88" i="2"/>
  <c r="F88" i="2"/>
  <c r="G88" i="2"/>
  <c r="G89" i="2"/>
  <c r="G90" i="2"/>
  <c r="D81" i="2"/>
  <c r="D82" i="2"/>
  <c r="D83" i="2"/>
  <c r="D84" i="2"/>
  <c r="D85" i="2"/>
  <c r="D86" i="2"/>
  <c r="D87" i="2"/>
  <c r="D88" i="2"/>
  <c r="D80" i="2"/>
  <c r="D91" i="2" s="1"/>
  <c r="K72" i="2"/>
  <c r="K73" i="2"/>
  <c r="K74" i="2"/>
  <c r="K75" i="2"/>
  <c r="K76" i="2"/>
  <c r="K77" i="2"/>
  <c r="J73" i="2"/>
  <c r="J74" i="2"/>
  <c r="J75" i="2"/>
  <c r="J76" i="2"/>
  <c r="J77" i="2"/>
  <c r="J72" i="2"/>
  <c r="J78" i="2" s="1"/>
  <c r="E72" i="2"/>
  <c r="F72" i="2"/>
  <c r="G72" i="2"/>
  <c r="E74" i="2"/>
  <c r="F74" i="2"/>
  <c r="G74" i="2"/>
  <c r="E75" i="2"/>
  <c r="F75" i="2"/>
  <c r="F78" i="2" s="1"/>
  <c r="G75" i="2"/>
  <c r="E76" i="2"/>
  <c r="F76" i="2"/>
  <c r="G76" i="2"/>
  <c r="E77" i="2"/>
  <c r="F77" i="2"/>
  <c r="G77" i="2"/>
  <c r="D74" i="2"/>
  <c r="D75" i="2"/>
  <c r="D76" i="2"/>
  <c r="D77" i="2"/>
  <c r="D72" i="2"/>
  <c r="D78" i="2" s="1"/>
  <c r="K65" i="2"/>
  <c r="K66" i="2"/>
  <c r="K67" i="2"/>
  <c r="K68" i="2"/>
  <c r="K69" i="2"/>
  <c r="J66" i="2"/>
  <c r="J67" i="2"/>
  <c r="J68" i="2"/>
  <c r="J69" i="2"/>
  <c r="J65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D66" i="2"/>
  <c r="D67" i="2"/>
  <c r="D68" i="2"/>
  <c r="D69" i="2"/>
  <c r="D65" i="2"/>
  <c r="K54" i="2"/>
  <c r="K63" i="2" s="1"/>
  <c r="K55" i="2"/>
  <c r="K56" i="2"/>
  <c r="K57" i="2"/>
  <c r="K58" i="2"/>
  <c r="K59" i="2"/>
  <c r="K60" i="2"/>
  <c r="K61" i="2"/>
  <c r="K62" i="2"/>
  <c r="J55" i="2"/>
  <c r="J56" i="2"/>
  <c r="J57" i="2"/>
  <c r="J58" i="2"/>
  <c r="J59" i="2"/>
  <c r="J60" i="2"/>
  <c r="J61" i="2"/>
  <c r="J62" i="2"/>
  <c r="J54" i="2"/>
  <c r="E54" i="2"/>
  <c r="F54" i="2"/>
  <c r="G54" i="2"/>
  <c r="G63" i="2" s="1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E61" i="2"/>
  <c r="F61" i="2"/>
  <c r="G61" i="2"/>
  <c r="E62" i="2"/>
  <c r="F62" i="2"/>
  <c r="G62" i="2"/>
  <c r="D55" i="2"/>
  <c r="D56" i="2"/>
  <c r="D57" i="2"/>
  <c r="D58" i="2"/>
  <c r="D59" i="2"/>
  <c r="D60" i="2"/>
  <c r="D61" i="2"/>
  <c r="D62" i="2"/>
  <c r="D54" i="2"/>
  <c r="K40" i="2"/>
  <c r="K41" i="2"/>
  <c r="K42" i="2"/>
  <c r="K43" i="2"/>
  <c r="K44" i="2"/>
  <c r="K45" i="2"/>
  <c r="K46" i="2"/>
  <c r="K47" i="2"/>
  <c r="K48" i="2"/>
  <c r="K49" i="2"/>
  <c r="K50" i="2"/>
  <c r="K51" i="2"/>
  <c r="J41" i="2"/>
  <c r="J42" i="2"/>
  <c r="J43" i="2"/>
  <c r="J44" i="2"/>
  <c r="J45" i="2"/>
  <c r="J46" i="2"/>
  <c r="J47" i="2"/>
  <c r="J48" i="2"/>
  <c r="J49" i="2"/>
  <c r="J50" i="2"/>
  <c r="J51" i="2"/>
  <c r="J40" i="2"/>
  <c r="J52" i="2" s="1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D41" i="2"/>
  <c r="D42" i="2"/>
  <c r="D43" i="2"/>
  <c r="D44" i="2"/>
  <c r="D45" i="2"/>
  <c r="D46" i="2"/>
  <c r="D47" i="2"/>
  <c r="D48" i="2"/>
  <c r="D49" i="2"/>
  <c r="D50" i="2"/>
  <c r="D51" i="2"/>
  <c r="D40" i="2"/>
  <c r="D52" i="2" s="1"/>
  <c r="H129" i="2"/>
  <c r="I129" i="2"/>
  <c r="J129" i="2"/>
  <c r="L129" i="2"/>
  <c r="M129" i="2"/>
  <c r="N129" i="2"/>
  <c r="O129" i="2"/>
  <c r="P129" i="2"/>
  <c r="Q129" i="2"/>
  <c r="H115" i="2"/>
  <c r="I115" i="2"/>
  <c r="L115" i="2"/>
  <c r="M115" i="2"/>
  <c r="N115" i="2"/>
  <c r="O115" i="2"/>
  <c r="P115" i="2"/>
  <c r="Q115" i="2"/>
  <c r="H102" i="2"/>
  <c r="I102" i="2"/>
  <c r="L102" i="2"/>
  <c r="M102" i="2"/>
  <c r="N102" i="2"/>
  <c r="O102" i="2"/>
  <c r="P102" i="2"/>
  <c r="Q102" i="2"/>
  <c r="H91" i="2"/>
  <c r="I91" i="2"/>
  <c r="L91" i="2"/>
  <c r="M91" i="2"/>
  <c r="N91" i="2"/>
  <c r="O91" i="2"/>
  <c r="P91" i="2"/>
  <c r="Q91" i="2"/>
  <c r="H78" i="2"/>
  <c r="I78" i="2"/>
  <c r="L78" i="2"/>
  <c r="M78" i="2"/>
  <c r="N78" i="2"/>
  <c r="O78" i="2"/>
  <c r="P78" i="2"/>
  <c r="Q78" i="2"/>
  <c r="H70" i="2"/>
  <c r="I70" i="2"/>
  <c r="L70" i="2"/>
  <c r="M70" i="2"/>
  <c r="N70" i="2"/>
  <c r="O70" i="2"/>
  <c r="P70" i="2"/>
  <c r="Q70" i="2"/>
  <c r="H63" i="2"/>
  <c r="I63" i="2"/>
  <c r="L63" i="2"/>
  <c r="M63" i="2"/>
  <c r="N63" i="2"/>
  <c r="O63" i="2"/>
  <c r="P63" i="2"/>
  <c r="Q63" i="2"/>
  <c r="F52" i="2"/>
  <c r="H52" i="2"/>
  <c r="I52" i="2"/>
  <c r="L52" i="2"/>
  <c r="M52" i="2"/>
  <c r="N52" i="2"/>
  <c r="O52" i="2"/>
  <c r="P52" i="2"/>
  <c r="Q52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D38" i="2"/>
  <c r="H30" i="2"/>
  <c r="I30" i="2"/>
  <c r="J30" i="2"/>
  <c r="K30" i="2"/>
  <c r="L30" i="2"/>
  <c r="M30" i="2"/>
  <c r="N30" i="2"/>
  <c r="O30" i="2"/>
  <c r="P30" i="2"/>
  <c r="Q30" i="2"/>
  <c r="J102" i="2" l="1"/>
  <c r="D129" i="2"/>
  <c r="Q130" i="2"/>
  <c r="M130" i="2"/>
  <c r="I130" i="2"/>
  <c r="D70" i="2"/>
  <c r="J70" i="2"/>
  <c r="J130" i="2" s="1"/>
  <c r="F91" i="2"/>
  <c r="E91" i="2"/>
  <c r="E52" i="2"/>
  <c r="G52" i="2"/>
  <c r="K52" i="2"/>
  <c r="E63" i="2"/>
  <c r="E130" i="2" s="1"/>
  <c r="J63" i="2"/>
  <c r="G70" i="2"/>
  <c r="F70" i="2"/>
  <c r="E70" i="2"/>
  <c r="K70" i="2"/>
  <c r="E78" i="2"/>
  <c r="G78" i="2"/>
  <c r="K78" i="2"/>
  <c r="J91" i="2"/>
  <c r="G102" i="2"/>
  <c r="F102" i="2"/>
  <c r="E102" i="2"/>
  <c r="K102" i="2"/>
  <c r="E115" i="2"/>
  <c r="G115" i="2"/>
  <c r="K115" i="2"/>
  <c r="E129" i="2"/>
  <c r="G129" i="2"/>
  <c r="K129" i="2"/>
  <c r="H130" i="2"/>
  <c r="O130" i="2"/>
  <c r="D63" i="2"/>
  <c r="D130" i="2" s="1"/>
  <c r="P130" i="2"/>
  <c r="N130" i="2"/>
  <c r="L130" i="2"/>
  <c r="K91" i="2"/>
  <c r="K130" i="2" s="1"/>
  <c r="F63" i="2"/>
  <c r="F130" i="2" s="1"/>
  <c r="G130" i="2"/>
  <c r="E131" i="2" l="1"/>
  <c r="D131" i="2"/>
  <c r="F131" i="2"/>
  <c r="Q131" i="2" l="1"/>
  <c r="P131" i="2"/>
  <c r="O131" i="2"/>
  <c r="N131" i="2"/>
  <c r="M131" i="2"/>
  <c r="L131" i="2"/>
  <c r="K131" i="2"/>
  <c r="J131" i="2"/>
  <c r="I131" i="2"/>
  <c r="H131" i="2"/>
  <c r="G131" i="2"/>
</calcChain>
</file>

<file path=xl/sharedStrings.xml><?xml version="1.0" encoding="utf-8"?>
<sst xmlns="http://schemas.openxmlformats.org/spreadsheetml/2006/main" count="949" uniqueCount="366">
  <si>
    <t xml:space="preserve"> </t>
  </si>
  <si>
    <t>Наименование организации, осуществляющей технологическое присоединение</t>
  </si>
  <si>
    <t>Наименование субъекта РФ</t>
  </si>
  <si>
    <t>Наименование центра питания                                            (ПС 35 кВ и выше)</t>
  </si>
  <si>
    <t>Заключено договоров на технологическое присоединение, включающие технические условия на общую мощность энергопринимающих устройств, кВт</t>
  </si>
  <si>
    <t>Расторгнуто договоров на технологическое присоединение, включающие технические условия на общую мощность энергопринимающих устройств, кВт</t>
  </si>
  <si>
    <t>Суммарная мощность энегргопринимающих устройств, присоединенных к электрическим сетям в соответствии с договором на технологическое присоединение за отчетный период, кВт</t>
  </si>
  <si>
    <t>шт</t>
  </si>
  <si>
    <t>кВт</t>
  </si>
  <si>
    <t>МВт</t>
  </si>
  <si>
    <t>ИТОГО:</t>
  </si>
  <si>
    <t>Филиал</t>
  </si>
  <si>
    <t xml:space="preserve">к  Положению о технологическом присоединении 
</t>
  </si>
  <si>
    <t xml:space="preserve">энергетических установок к электрическим сетям </t>
  </si>
  <si>
    <t xml:space="preserve">ОАО «МРСК Северного Кавказа», управляемых </t>
  </si>
  <si>
    <t xml:space="preserve">Обществ </t>
  </si>
  <si>
    <t>Приложение № 28</t>
  </si>
  <si>
    <t xml:space="preserve">Количество поданных заявок на технологическое присоединение,  на общую мощность энергопринимающих устройств, кВт </t>
  </si>
  <si>
    <t>Заключено договоров на технологическое присоединение, включающие технические условия на общую мощность генерирущих установок, МВт</t>
  </si>
  <si>
    <t>Расторгнуто договоров на технологическое присоединение, включающие технические условия на общую мощность генерирущих установок, МВт</t>
  </si>
  <si>
    <t>Суммарная мощность генерирущих  установок, присоединенных к электрическим сетям в соответствии с договором на технологическое присоединение за отчетный период, МВт</t>
  </si>
  <si>
    <t>Нальчикская группа ПС</t>
  </si>
  <si>
    <t>ПС «Нальчик»</t>
  </si>
  <si>
    <t>ПС «Телемеханика-1»</t>
  </si>
  <si>
    <t>ПС «Искож»</t>
  </si>
  <si>
    <t>ПС «СКЭП-Н»</t>
  </si>
  <si>
    <t>ПС «Долинск»</t>
  </si>
  <si>
    <t>ПС «Дубки»</t>
  </si>
  <si>
    <t>ПС «Птицефабрика»</t>
  </si>
  <si>
    <t>Малкинская группа ПС</t>
  </si>
  <si>
    <t>итого:</t>
  </si>
  <si>
    <t>ПС «Малка»</t>
  </si>
  <si>
    <t>ПС «Каменномостская»</t>
  </si>
  <si>
    <t>ПС «Залукокоаже»</t>
  </si>
  <si>
    <t>ПС «Залукодес»</t>
  </si>
  <si>
    <t>ПС «Сармаково»</t>
  </si>
  <si>
    <t>ПС «Аурсентх»</t>
  </si>
  <si>
    <t>Эльбрусская  группа ПС</t>
  </si>
  <si>
    <t>ПС «ЦРУ»</t>
  </si>
  <si>
    <t>ПС «Адыл-Су»</t>
  </si>
  <si>
    <t>ПС «Нейтрино»</t>
  </si>
  <si>
    <t>ПС «Чегет»</t>
  </si>
  <si>
    <t>ПС «Терскол»</t>
  </si>
  <si>
    <t>ПС «Джайлык»</t>
  </si>
  <si>
    <t>ПС «Соц. городок»</t>
  </si>
  <si>
    <t>ПС «Чалмас»</t>
  </si>
  <si>
    <t>ПС  «РМЗ»</t>
  </si>
  <si>
    <t>РП «Водогрейная»</t>
  </si>
  <si>
    <t>ПС «Былым»</t>
  </si>
  <si>
    <t>ПС "Гунделен"</t>
  </si>
  <si>
    <t>Терская группа ПС</t>
  </si>
  <si>
    <t>ПС «Терек-II»</t>
  </si>
  <si>
    <t>ПС «В.Акбаш»</t>
  </si>
  <si>
    <t>ПС «ЗАИ»</t>
  </si>
  <si>
    <t>ПС «Пенькозавод»</t>
  </si>
  <si>
    <t>ПС «Терекская»</t>
  </si>
  <si>
    <t>ПС «Терек-1»</t>
  </si>
  <si>
    <t>ПС «В.Курп»</t>
  </si>
  <si>
    <t>ПС «Н.Курп»</t>
  </si>
  <si>
    <t>ПС «Акбаш-35»</t>
  </si>
  <si>
    <t>Майская группа ПС</t>
  </si>
  <si>
    <t>ПС «Майская»</t>
  </si>
  <si>
    <t>ПС «Александровская»</t>
  </si>
  <si>
    <t>ПС «Котляревская»</t>
  </si>
  <si>
    <t>ПС «Ново-Ивановская»</t>
  </si>
  <si>
    <t>ПС «Красная Нива»</t>
  </si>
  <si>
    <t>Чегемская группа ПС</t>
  </si>
  <si>
    <t>ПС «Чегем-II»</t>
  </si>
  <si>
    <t>ПС «Водозабор»</t>
  </si>
  <si>
    <t>ПС «Чегем-1»</t>
  </si>
  <si>
    <t>ПС «Лечинкай»</t>
  </si>
  <si>
    <t>ПС «Н.Чегем»</t>
  </si>
  <si>
    <t>ПС «Кара-Су»</t>
  </si>
  <si>
    <t>Баксанская группа ПС</t>
  </si>
  <si>
    <t>ПС «Баксан-110»</t>
  </si>
  <si>
    <t>ПС «Кызбурун-110»</t>
  </si>
  <si>
    <t>ПС «Куркужин»</t>
  </si>
  <si>
    <t>ПС «Баксан-35»</t>
  </si>
  <si>
    <t>ПС «Кр.Константин.»</t>
  </si>
  <si>
    <t>ПС «Гунделен-110»</t>
  </si>
  <si>
    <t>ПС «Плотина»</t>
  </si>
  <si>
    <t>ПС «Баксаненок»</t>
  </si>
  <si>
    <t>ПС «Баксан-330»</t>
  </si>
  <si>
    <t>РП Заюково</t>
  </si>
  <si>
    <t>РП Куба</t>
  </si>
  <si>
    <t>Черекская группа ПС</t>
  </si>
  <si>
    <t>ПС «Кашхатау»</t>
  </si>
  <si>
    <t>ПС «Аушигер»</t>
  </si>
  <si>
    <t>ПС «Советская»</t>
  </si>
  <si>
    <t>ПС «ЦСБ»</t>
  </si>
  <si>
    <t>ПС «Портал-2»</t>
  </si>
  <si>
    <t>ПС «Портал-1»</t>
  </si>
  <si>
    <t>ПС «Бабугент»</t>
  </si>
  <si>
    <t>ПС «Мухольская ГЭС»</t>
  </si>
  <si>
    <t>Нарткалинская группа ПС</t>
  </si>
  <si>
    <t>ПС «Нарткала»</t>
  </si>
  <si>
    <t>ПС «Псыгансу»</t>
  </si>
  <si>
    <t>ПС «Ст.Лескен»</t>
  </si>
  <si>
    <t>ПС «Кахун»</t>
  </si>
  <si>
    <t>ПС «Заводская»</t>
  </si>
  <si>
    <t>ПС «Герменчик»</t>
  </si>
  <si>
    <t>ПС «Ст.Урух»</t>
  </si>
  <si>
    <t>ПС «Аргудан»</t>
  </si>
  <si>
    <t>ПС «Лескен-1»</t>
  </si>
  <si>
    <t>ЦРП  Черек</t>
  </si>
  <si>
    <t>ЦРП Кахун</t>
  </si>
  <si>
    <t>Прохладненская группа ПС</t>
  </si>
  <si>
    <t>ПС «Прохладная-1»</t>
  </si>
  <si>
    <t>ПС «Екатериноградск.»</t>
  </si>
  <si>
    <t>ПС «Прималкинская»</t>
  </si>
  <si>
    <t>ПС «Ново-Полтавская»</t>
  </si>
  <si>
    <t>ПС «Солдатская»</t>
  </si>
  <si>
    <t>ПС «Саратовская»</t>
  </si>
  <si>
    <t>ПС «Дальняя»</t>
  </si>
  <si>
    <t>ПС «Заречная»</t>
  </si>
  <si>
    <t>ПС «Малокановская»</t>
  </si>
  <si>
    <t>ПС «Пролетарская»</t>
  </si>
  <si>
    <t>ПС «ЗКИ»</t>
  </si>
  <si>
    <t>ПС «Прохладная-2»</t>
  </si>
  <si>
    <t>ВСЕГО:</t>
  </si>
  <si>
    <t>84/12 от 24.09.12</t>
  </si>
  <si>
    <t>УФК по КБР</t>
  </si>
  <si>
    <t>82/12 от 24.09.12</t>
  </si>
  <si>
    <t>65/12 от 18.07.12</t>
  </si>
  <si>
    <t>ФГУП "УВО Минтранс России СК Филиал"</t>
  </si>
  <si>
    <t>17/13 от 12.03.13</t>
  </si>
  <si>
    <t>ООО Тлепш</t>
  </si>
  <si>
    <t>18/13 от 12.03.13</t>
  </si>
  <si>
    <t>19/13 от 12.03.13</t>
  </si>
  <si>
    <t>21/13 от 19.03.13</t>
  </si>
  <si>
    <t>106/11 от 30.12.11</t>
  </si>
  <si>
    <t>ООО Нальчикский МК</t>
  </si>
  <si>
    <t>41/10 от 07.07.2010г</t>
  </si>
  <si>
    <t>ОАО Вымпелком</t>
  </si>
  <si>
    <t>77/10 от 17.11.2010г</t>
  </si>
  <si>
    <t>26/11 от 06.05.2011г</t>
  </si>
  <si>
    <t>Кабардино- Балкарсикй филиал ОАО "МРСК Северного Кавказа"</t>
  </si>
  <si>
    <t>Кабардино- Балкарская Республика</t>
  </si>
  <si>
    <t>* отчет не учитывает заявки потребителей максимальной присоединенной мощностью более 670 кВт</t>
  </si>
  <si>
    <t>Расторгнутые договора</t>
  </si>
  <si>
    <t>Информация о технологическом присоединении энергопринимающих устройств к сетям КБ филиалом ОАО "МРСК Северного Кавказа" за Ноябрь 2013г.</t>
  </si>
  <si>
    <t>РТРС</t>
  </si>
  <si>
    <t>72/11 от 12.10.11</t>
  </si>
  <si>
    <t>КСТ Калоев</t>
  </si>
  <si>
    <t>57/13 от            03.07.2013</t>
  </si>
  <si>
    <t>77/12 от            12.08.2012</t>
  </si>
  <si>
    <t>ЦЕНТРАЛЬНЫЕ СЕТИ</t>
  </si>
  <si>
    <t>Сулак</t>
  </si>
  <si>
    <t>СЕВЕРНЫЕ СЕТИ</t>
  </si>
  <si>
    <t>Акташ</t>
  </si>
  <si>
    <t>Куруш</t>
  </si>
  <si>
    <t>Сулевкент</t>
  </si>
  <si>
    <t>Бабаюрт</t>
  </si>
  <si>
    <t>Дылым</t>
  </si>
  <si>
    <t>ГЩЗ</t>
  </si>
  <si>
    <t>Миатлы</t>
  </si>
  <si>
    <t>Львовская</t>
  </si>
  <si>
    <t>Дагестан</t>
  </si>
  <si>
    <t>Аксай</t>
  </si>
  <si>
    <t>Чагаротар</t>
  </si>
  <si>
    <t>Гертма</t>
  </si>
  <si>
    <t>Татаюрт</t>
  </si>
  <si>
    <t>Тамазатюбе</t>
  </si>
  <si>
    <t>Туршунай</t>
  </si>
  <si>
    <t>Новокули</t>
  </si>
  <si>
    <t>Янгильбай</t>
  </si>
  <si>
    <t>Шава</t>
  </si>
  <si>
    <t>Свердлова</t>
  </si>
  <si>
    <t>Казиюрт</t>
  </si>
  <si>
    <t>Аликазган</t>
  </si>
  <si>
    <t>Сивух</t>
  </si>
  <si>
    <t>Костек</t>
  </si>
  <si>
    <t>Дружба</t>
  </si>
  <si>
    <t>Дубки</t>
  </si>
  <si>
    <t>Карланюрт -(Тяговая)</t>
  </si>
  <si>
    <t>Дербент-330</t>
  </si>
  <si>
    <t>Дербент-С</t>
  </si>
  <si>
    <t>Мамедкала</t>
  </si>
  <si>
    <t>Каякент</t>
  </si>
  <si>
    <t>Белиджи</t>
  </si>
  <si>
    <t>Касумкент</t>
  </si>
  <si>
    <t>Советская</t>
  </si>
  <si>
    <t>Магарамкент</t>
  </si>
  <si>
    <t>Тагиркент</t>
  </si>
  <si>
    <t>Ахты</t>
  </si>
  <si>
    <t>Огни</t>
  </si>
  <si>
    <t>Усухчай</t>
  </si>
  <si>
    <t xml:space="preserve">Заречная </t>
  </si>
  <si>
    <t>Дербент-Запад</t>
  </si>
  <si>
    <t>Араблинка</t>
  </si>
  <si>
    <t>Геджух</t>
  </si>
  <si>
    <t>Самур</t>
  </si>
  <si>
    <t>Кайтаг</t>
  </si>
  <si>
    <t>Капир</t>
  </si>
  <si>
    <t>Родниковая</t>
  </si>
  <si>
    <t>Курах</t>
  </si>
  <si>
    <t>Рутул</t>
  </si>
  <si>
    <t>Лучек</t>
  </si>
  <si>
    <t>Зрых</t>
  </si>
  <si>
    <t>Заря</t>
  </si>
  <si>
    <t>Джимикент</t>
  </si>
  <si>
    <t>Капкаякент</t>
  </si>
  <si>
    <t>Утамыш-Н</t>
  </si>
  <si>
    <t>Утамыш-С</t>
  </si>
  <si>
    <t>Уркута</t>
  </si>
  <si>
    <t>Кубачи</t>
  </si>
  <si>
    <t>Уркарах-С</t>
  </si>
  <si>
    <t>Уркарах-Н</t>
  </si>
  <si>
    <t>Хучни</t>
  </si>
  <si>
    <t>Сыртыч</t>
  </si>
  <si>
    <t>Ерси</t>
  </si>
  <si>
    <t>Цанак</t>
  </si>
  <si>
    <t>Хив</t>
  </si>
  <si>
    <t>Тпиг</t>
  </si>
  <si>
    <t>Агул</t>
  </si>
  <si>
    <t>Сардаркент</t>
  </si>
  <si>
    <t>Кировская</t>
  </si>
  <si>
    <t>Маджалис</t>
  </si>
  <si>
    <t>Первомайская</t>
  </si>
  <si>
    <t>Шиляги</t>
  </si>
  <si>
    <t>Набережная</t>
  </si>
  <si>
    <t xml:space="preserve">Пионер </t>
  </si>
  <si>
    <t>Морская</t>
  </si>
  <si>
    <t>ДЕРБЕНТСКИЕ СЕТИ</t>
  </si>
  <si>
    <t>Кизляр-1</t>
  </si>
  <si>
    <t>Кизляр-2</t>
  </si>
  <si>
    <t>Хуцеевка</t>
  </si>
  <si>
    <t>Серебряковка</t>
  </si>
  <si>
    <t>Октябрьская</t>
  </si>
  <si>
    <t>Некрасовка</t>
  </si>
  <si>
    <t>Б-Арешевка</t>
  </si>
  <si>
    <t>Александрия</t>
  </si>
  <si>
    <t>Крайновка</t>
  </si>
  <si>
    <t>Огузер</t>
  </si>
  <si>
    <t>Черняевка</t>
  </si>
  <si>
    <t>Брянск</t>
  </si>
  <si>
    <t>Тарумовка</t>
  </si>
  <si>
    <t>Калиновка</t>
  </si>
  <si>
    <t>Привольная</t>
  </si>
  <si>
    <t>Таловка</t>
  </si>
  <si>
    <t>Арсланбек</t>
  </si>
  <si>
    <t>Кочубей</t>
  </si>
  <si>
    <t>Кормоцех</t>
  </si>
  <si>
    <t>Коминтерн</t>
  </si>
  <si>
    <t>Ч.Буруны</t>
  </si>
  <si>
    <t>Кумли</t>
  </si>
  <si>
    <t>Карагас</t>
  </si>
  <si>
    <t>Кунбатар</t>
  </si>
  <si>
    <t>КЭМЗ</t>
  </si>
  <si>
    <t>Джигильта</t>
  </si>
  <si>
    <t>ЗАТЕРЕЧНЫЕ СЕТИ</t>
  </si>
  <si>
    <t>Юж-Сухокумск</t>
  </si>
  <si>
    <t>Кр.партизан</t>
  </si>
  <si>
    <t>3-я ферма</t>
  </si>
  <si>
    <t>Солончаковая</t>
  </si>
  <si>
    <t>Ногайская</t>
  </si>
  <si>
    <t>Степная</t>
  </si>
  <si>
    <t>Бажиган</t>
  </si>
  <si>
    <t>Грузинская</t>
  </si>
  <si>
    <t>ЮЖНО-СУХОКУМСКИЕ СЕТИ</t>
  </si>
  <si>
    <t>п\с 110\35\6 "ЗФС"</t>
  </si>
  <si>
    <t>п\с 35\10 Нечаевка</t>
  </si>
  <si>
    <t>п\с Гулькутан</t>
  </si>
  <si>
    <t>Шамхалянгиюрт</t>
  </si>
  <si>
    <t>Стальск</t>
  </si>
  <si>
    <t>КИЗИЛЮРТОВСКИЕ СЕТИ</t>
  </si>
  <si>
    <t>ПС Гергебиль-110</t>
  </si>
  <si>
    <t>ГГЭС</t>
  </si>
  <si>
    <t>ПС  Карадах-110</t>
  </si>
  <si>
    <t>Тлайлух-110</t>
  </si>
  <si>
    <t>ПС Леваши-110</t>
  </si>
  <si>
    <t>ПС Цудахар-110</t>
  </si>
  <si>
    <t>Ташкапур-35</t>
  </si>
  <si>
    <t>ПС Хунзах-110</t>
  </si>
  <si>
    <t>ПС Тлох-110</t>
  </si>
  <si>
    <t>Гуниб-110</t>
  </si>
  <si>
    <t>Акуша</t>
  </si>
  <si>
    <t>Кумух-35</t>
  </si>
  <si>
    <t>Вачи-35</t>
  </si>
  <si>
    <t>Ботлих</t>
  </si>
  <si>
    <t>Агвали-35</t>
  </si>
  <si>
    <t>Карата-35</t>
  </si>
  <si>
    <t>Прогресс-35</t>
  </si>
  <si>
    <t>Мехельта-35</t>
  </si>
  <si>
    <t>Цуриб-35</t>
  </si>
  <si>
    <t>Согратль-35</t>
  </si>
  <si>
    <t>Унцукуль-35</t>
  </si>
  <si>
    <t>Шамильское-110</t>
  </si>
  <si>
    <t>Тлярата-35</t>
  </si>
  <si>
    <t>Бежта-35</t>
  </si>
  <si>
    <t>Анцух-35</t>
  </si>
  <si>
    <t>Заиб</t>
  </si>
  <si>
    <t>Гидатль-35</t>
  </si>
  <si>
    <t>Анди-35</t>
  </si>
  <si>
    <t>Аргвани</t>
  </si>
  <si>
    <t xml:space="preserve">Шаури </t>
  </si>
  <si>
    <t>ГКЗ</t>
  </si>
  <si>
    <t>Игали-35</t>
  </si>
  <si>
    <t>Наци</t>
  </si>
  <si>
    <t>Зуберха</t>
  </si>
  <si>
    <t>Кидеро</t>
  </si>
  <si>
    <t>ЦРП</t>
  </si>
  <si>
    <t>Н.Ирганай</t>
  </si>
  <si>
    <t>Гоцатлинская</t>
  </si>
  <si>
    <t>Сагри</t>
  </si>
  <si>
    <t>ГЕРГЕБИЛЬСКИЕ СЕТИ</t>
  </si>
  <si>
    <t>ПС ГПП</t>
  </si>
  <si>
    <t>ПС Новая</t>
  </si>
  <si>
    <t>ПС ЦПП</t>
  </si>
  <si>
    <t>ПС М-110</t>
  </si>
  <si>
    <t>ПС Очистные соор.</t>
  </si>
  <si>
    <t>ПС Ю-Восточная</t>
  </si>
  <si>
    <t>ПС Приморская</t>
  </si>
  <si>
    <t>ПС Насосная -1</t>
  </si>
  <si>
    <t>ПС Радиоцентр</t>
  </si>
  <si>
    <t>ПС Изберг- Сев.</t>
  </si>
  <si>
    <t>ПС Изберг- Южн.</t>
  </si>
  <si>
    <t>ПС Карабуд-т</t>
  </si>
  <si>
    <t>ПС Рассвет</t>
  </si>
  <si>
    <t>ПС Шамхал</t>
  </si>
  <si>
    <t>ПС Сергокала</t>
  </si>
  <si>
    <t>ПС Алмало</t>
  </si>
  <si>
    <t>ПС Буйнакск -1</t>
  </si>
  <si>
    <t>ПС Буйнакск -2</t>
  </si>
  <si>
    <t>ПС Казанище</t>
  </si>
  <si>
    <t>ПС Согратль</t>
  </si>
  <si>
    <t>ПС Дженгутай</t>
  </si>
  <si>
    <t>ПС Такалай</t>
  </si>
  <si>
    <t>ПС Параул</t>
  </si>
  <si>
    <t>ПС Восточная</t>
  </si>
  <si>
    <t>ПС Приозерная</t>
  </si>
  <si>
    <t>ПС Солнце</t>
  </si>
  <si>
    <t>ПС Компас</t>
  </si>
  <si>
    <t>ПС Сулак</t>
  </si>
  <si>
    <t>ПС НИИСХА</t>
  </si>
  <si>
    <t>ПС Тепл. Комбинат</t>
  </si>
  <si>
    <t>ПС Насосная - 2</t>
  </si>
  <si>
    <t>ПС Ленинкент</t>
  </si>
  <si>
    <t>ПС Дурмаз</t>
  </si>
  <si>
    <t>ПС Эрпели</t>
  </si>
  <si>
    <t>ПС Гурбуки</t>
  </si>
  <si>
    <t>ПС Халимбекаул</t>
  </si>
  <si>
    <t>ПС Мулебки</t>
  </si>
  <si>
    <t>ПС Н. Чиркей</t>
  </si>
  <si>
    <t>ПС КПФ</t>
  </si>
  <si>
    <t>ПС Аграханская</t>
  </si>
  <si>
    <t>Михеевка</t>
  </si>
  <si>
    <t>С.Коса</t>
  </si>
  <si>
    <t>22\П\Съезд</t>
  </si>
  <si>
    <t>Т-Мектеб</t>
  </si>
  <si>
    <t>Ярыксу</t>
  </si>
  <si>
    <t>Чиркей</t>
  </si>
  <si>
    <t>Хамам-юрт</t>
  </si>
  <si>
    <t>Новая коса</t>
  </si>
  <si>
    <t>Караузбек</t>
  </si>
  <si>
    <t>Димитрова</t>
  </si>
  <si>
    <t>Андрейаул</t>
  </si>
  <si>
    <t>Акбула-Тюрт</t>
  </si>
  <si>
    <t>Д Консер.з-д</t>
  </si>
  <si>
    <t>миарсо</t>
  </si>
  <si>
    <t>Республика Дагестан</t>
  </si>
  <si>
    <t>Андрейаул (Эндирей)</t>
  </si>
  <si>
    <t>ПС ЗТМ (Т, Механика)</t>
  </si>
  <si>
    <t>ГЩЗ (Кизилюртовская</t>
  </si>
  <si>
    <t>Информация о технологическом присоединении энергопринимающих устройств к сетям ОАО Дагэнергосеть илиалом ОАО "МРСК Северного Кавказа" за октябрь 2014г.</t>
  </si>
  <si>
    <t>* в  ОАО "Дагэнергосеть"  аннулированных заявок 0 шт. на 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</si>
</sst>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1.5"/>
      <name val="Arial Cyr"/>
      <charset val="204"/>
    </font>
    <font>
      <sz val="10"/>
      <color indexed="8"/>
      <name val="Arial Cyr"/>
      <charset val="204"/>
    </font>
    <font>
      <b/>
      <sz val="11.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sz val="10"/>
      <color rgb="FFFF0000"/>
      <name val="Arial Cyr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13">
    <xf numFmtId="0" fontId="0" fillId="0" borderId="0"/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/>
    <xf numFmtId="0" fontId="1" fillId="0" borderId="0"/>
    <xf numFmtId="0" fontId="8" fillId="0" borderId="0"/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/>
  </cellStyleXfs>
  <cellXfs count="149">
    <xf numFmtId="0" fontId="0" fillId="0" borderId="0" xfId="0"/>
    <xf numFmtId="0" fontId="3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0" fillId="0" borderId="9" xfId="0" applyBorder="1"/>
    <xf numFmtId="0" fontId="0" fillId="0" borderId="10" xfId="0" applyBorder="1" applyAlignment="1">
      <alignment horizontal="center"/>
    </xf>
    <xf numFmtId="1" fontId="7" fillId="0" borderId="10" xfId="0" applyNumberFormat="1" applyFont="1" applyBorder="1" applyAlignment="1">
      <alignment horizontal="center" vertical="top"/>
    </xf>
    <xf numFmtId="0" fontId="7" fillId="0" borderId="10" xfId="0" applyFont="1" applyBorder="1"/>
    <xf numFmtId="3" fontId="7" fillId="4" borderId="10" xfId="0" applyNumberFormat="1" applyFont="1" applyFill="1" applyBorder="1" applyAlignment="1">
      <alignment horizontal="center" vertical="center"/>
    </xf>
    <xf numFmtId="164" fontId="7" fillId="4" borderId="10" xfId="0" applyNumberFormat="1" applyFont="1" applyFill="1" applyBorder="1" applyAlignment="1">
      <alignment horizontal="center" vertical="center"/>
    </xf>
    <xf numFmtId="0" fontId="0" fillId="0" borderId="0" xfId="0" applyBorder="1"/>
    <xf numFmtId="0" fontId="7" fillId="0" borderId="1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3" fillId="0" borderId="0" xfId="0" applyFont="1" applyAlignment="1"/>
    <xf numFmtId="0" fontId="0" fillId="0" borderId="10" xfId="0" applyBorder="1"/>
    <xf numFmtId="0" fontId="2" fillId="0" borderId="10" xfId="4" applyFont="1" applyFill="1" applyBorder="1" applyAlignment="1">
      <alignment horizontal="center" vertical="top" wrapText="1"/>
    </xf>
    <xf numFmtId="0" fontId="7" fillId="0" borderId="10" xfId="4" applyFont="1" applyFill="1" applyBorder="1" applyAlignment="1">
      <alignment horizontal="center" vertical="top" wrapText="1"/>
    </xf>
    <xf numFmtId="0" fontId="10" fillId="0" borderId="10" xfId="4" applyFont="1" applyFill="1" applyBorder="1" applyAlignment="1">
      <alignment horizontal="center" vertical="top" wrapText="1"/>
    </xf>
    <xf numFmtId="0" fontId="10" fillId="0" borderId="11" xfId="4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 wrapText="1"/>
    </xf>
    <xf numFmtId="2" fontId="12" fillId="0" borderId="10" xfId="4" applyNumberFormat="1" applyFont="1" applyFill="1" applyBorder="1"/>
    <xf numFmtId="0" fontId="13" fillId="0" borderId="10" xfId="12" applyFont="1" applyFill="1" applyBorder="1" applyAlignment="1">
      <alignment horizontal="center" vertical="center"/>
    </xf>
    <xf numFmtId="0" fontId="14" fillId="0" borderId="10" xfId="12" applyFont="1" applyFill="1" applyBorder="1" applyAlignment="1">
      <alignment vertical="center" wrapText="1"/>
    </xf>
    <xf numFmtId="0" fontId="14" fillId="0" borderId="10" xfId="12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0" xfId="0" applyFill="1"/>
    <xf numFmtId="2" fontId="0" fillId="0" borderId="10" xfId="0" applyNumberForma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1" fontId="7" fillId="0" borderId="10" xfId="0" applyNumberFormat="1" applyFont="1" applyFill="1" applyBorder="1" applyAlignment="1">
      <alignment horizontal="center" vertical="top"/>
    </xf>
    <xf numFmtId="3" fontId="7" fillId="0" borderId="10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16" fontId="13" fillId="0" borderId="12" xfId="12" applyNumberFormat="1" applyFont="1" applyFill="1" applyBorder="1" applyAlignment="1">
      <alignment vertical="center" wrapText="1"/>
    </xf>
    <xf numFmtId="0" fontId="13" fillId="0" borderId="10" xfId="12" applyFont="1" applyFill="1" applyBorder="1" applyAlignment="1">
      <alignment horizontal="center" vertical="center" wrapText="1"/>
    </xf>
    <xf numFmtId="0" fontId="14" fillId="0" borderId="12" xfId="12" applyFont="1" applyFill="1" applyBorder="1" applyAlignment="1">
      <alignment vertical="center" wrapText="1"/>
    </xf>
    <xf numFmtId="0" fontId="14" fillId="0" borderId="9" xfId="12" applyFont="1" applyFill="1" applyBorder="1" applyAlignment="1">
      <alignment horizontal="center" vertical="center" wrapText="1"/>
    </xf>
    <xf numFmtId="0" fontId="14" fillId="0" borderId="10" xfId="12" applyFont="1" applyFill="1" applyBorder="1" applyAlignment="1">
      <alignment horizontal="left" wrapText="1"/>
    </xf>
    <xf numFmtId="0" fontId="14" fillId="0" borderId="10" xfId="12" applyFont="1" applyFill="1" applyBorder="1" applyAlignment="1">
      <alignment horizontal="center" wrapText="1"/>
    </xf>
    <xf numFmtId="0" fontId="14" fillId="3" borderId="10" xfId="4" applyFont="1" applyFill="1" applyBorder="1" applyAlignment="1">
      <alignment horizontal="center"/>
    </xf>
    <xf numFmtId="0" fontId="9" fillId="0" borderId="13" xfId="4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10" xfId="0" applyFont="1" applyFill="1" applyBorder="1"/>
    <xf numFmtId="0" fontId="16" fillId="0" borderId="0" xfId="0" applyFont="1" applyFill="1"/>
    <xf numFmtId="0" fontId="16" fillId="0" borderId="12" xfId="4" applyFont="1" applyFill="1" applyBorder="1" applyAlignment="1">
      <alignment horizontal="center" wrapText="1"/>
    </xf>
    <xf numFmtId="0" fontId="0" fillId="0" borderId="12" xfId="0" applyBorder="1"/>
    <xf numFmtId="0" fontId="15" fillId="0" borderId="17" xfId="0" applyFont="1" applyFill="1" applyBorder="1"/>
    <xf numFmtId="0" fontId="16" fillId="0" borderId="18" xfId="4" applyFont="1" applyFill="1" applyBorder="1" applyAlignment="1">
      <alignment horizontal="center" wrapText="1"/>
    </xf>
    <xf numFmtId="0" fontId="2" fillId="0" borderId="10" xfId="0" applyFont="1" applyFill="1" applyBorder="1"/>
    <xf numFmtId="0" fontId="15" fillId="0" borderId="10" xfId="0" quotePrefix="1" applyFont="1" applyFill="1" applyBorder="1" applyAlignment="1">
      <alignment horizontal="left"/>
    </xf>
    <xf numFmtId="0" fontId="16" fillId="0" borderId="19" xfId="0" applyFont="1" applyFill="1" applyBorder="1"/>
    <xf numFmtId="0" fontId="2" fillId="0" borderId="9" xfId="4" applyFont="1" applyFill="1" applyBorder="1" applyAlignment="1">
      <alignment horizontal="center" vertical="top" wrapText="1"/>
    </xf>
    <xf numFmtId="0" fontId="16" fillId="0" borderId="10" xfId="0" quotePrefix="1" applyFont="1" applyFill="1" applyBorder="1" applyAlignment="1">
      <alignment horizontal="left"/>
    </xf>
    <xf numFmtId="0" fontId="14" fillId="3" borderId="12" xfId="12" applyFont="1" applyFill="1" applyBorder="1" applyAlignment="1">
      <alignment horizontal="center" vertical="center" wrapText="1"/>
    </xf>
    <xf numFmtId="0" fontId="14" fillId="0" borderId="12" xfId="12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13" fillId="3" borderId="10" xfId="12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top" wrapText="1"/>
    </xf>
    <xf numFmtId="0" fontId="16" fillId="0" borderId="12" xfId="4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6" fillId="0" borderId="12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4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9" fillId="0" borderId="13" xfId="4" applyFont="1" applyFill="1" applyBorder="1" applyAlignment="1">
      <alignment horizontal="center" wrapText="1"/>
    </xf>
    <xf numFmtId="0" fontId="6" fillId="0" borderId="1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4" fontId="0" fillId="0" borderId="0" xfId="0" applyNumberFormat="1" applyFill="1"/>
    <xf numFmtId="2" fontId="0" fillId="5" borderId="10" xfId="0" applyNumberForma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3" fontId="0" fillId="0" borderId="0" xfId="0" applyNumberFormat="1" applyFill="1"/>
    <xf numFmtId="1" fontId="12" fillId="0" borderId="10" xfId="4" applyNumberFormat="1" applyFont="1" applyFill="1" applyBorder="1" applyAlignment="1">
      <alignment horizontal="left" indent="3"/>
    </xf>
    <xf numFmtId="1" fontId="12" fillId="0" borderId="10" xfId="4" applyNumberFormat="1" applyFont="1" applyFill="1" applyBorder="1" applyAlignment="1">
      <alignment horizontal="left" indent="4"/>
    </xf>
    <xf numFmtId="2" fontId="7" fillId="0" borderId="10" xfId="0" applyNumberFormat="1" applyFont="1" applyFill="1" applyBorder="1" applyAlignment="1">
      <alignment horizontal="center"/>
    </xf>
    <xf numFmtId="0" fontId="7" fillId="0" borderId="9" xfId="4" applyFont="1" applyFill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0" fillId="0" borderId="10" xfId="4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/>
    </xf>
    <xf numFmtId="2" fontId="17" fillId="3" borderId="10" xfId="0" applyNumberFormat="1" applyFont="1" applyFill="1" applyBorder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0" fillId="5" borderId="10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16" fontId="18" fillId="0" borderId="12" xfId="12" applyNumberFormat="1" applyFont="1" applyFill="1" applyBorder="1" applyAlignment="1">
      <alignment vertical="center" wrapText="1"/>
    </xf>
    <xf numFmtId="0" fontId="18" fillId="3" borderId="10" xfId="12" applyFont="1" applyFill="1" applyBorder="1" applyAlignment="1">
      <alignment horizontal="center" vertical="center" wrapText="1"/>
    </xf>
    <xf numFmtId="0" fontId="18" fillId="0" borderId="10" xfId="12" applyFont="1" applyFill="1" applyBorder="1" applyAlignment="1">
      <alignment horizontal="center" vertical="center" wrapText="1"/>
    </xf>
    <xf numFmtId="0" fontId="0" fillId="5" borderId="0" xfId="0" applyFill="1"/>
    <xf numFmtId="16" fontId="13" fillId="5" borderId="12" xfId="12" applyNumberFormat="1" applyFont="1" applyFill="1" applyBorder="1" applyAlignment="1">
      <alignment vertical="center" wrapText="1"/>
    </xf>
    <xf numFmtId="0" fontId="13" fillId="5" borderId="10" xfId="12" applyFont="1" applyFill="1" applyBorder="1" applyAlignment="1">
      <alignment horizontal="center" vertical="center" wrapText="1"/>
    </xf>
    <xf numFmtId="3" fontId="0" fillId="5" borderId="0" xfId="0" applyNumberFormat="1" applyFill="1"/>
    <xf numFmtId="4" fontId="0" fillId="5" borderId="0" xfId="0" applyNumberFormat="1" applyFill="1"/>
    <xf numFmtId="0" fontId="14" fillId="5" borderId="12" xfId="12" applyFont="1" applyFill="1" applyBorder="1" applyAlignment="1">
      <alignment vertical="center" wrapText="1"/>
    </xf>
    <xf numFmtId="0" fontId="14" fillId="5" borderId="12" xfId="12" applyFont="1" applyFill="1" applyBorder="1" applyAlignment="1">
      <alignment horizontal="center" vertical="center" wrapText="1"/>
    </xf>
    <xf numFmtId="0" fontId="7" fillId="3" borderId="0" xfId="0" applyFont="1" applyFill="1"/>
    <xf numFmtId="0" fontId="7" fillId="0" borderId="0" xfId="0" applyFont="1"/>
    <xf numFmtId="0" fontId="4" fillId="0" borderId="1" xfId="0" applyFont="1" applyBorder="1" applyAlignment="1">
      <alignment horizontal="center"/>
    </xf>
    <xf numFmtId="0" fontId="9" fillId="0" borderId="10" xfId="4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14" fillId="3" borderId="12" xfId="12" applyFont="1" applyFill="1" applyBorder="1" applyAlignment="1">
      <alignment horizontal="center" vertical="center" wrapText="1"/>
    </xf>
    <xf numFmtId="0" fontId="14" fillId="3" borderId="13" xfId="12" applyFont="1" applyFill="1" applyBorder="1" applyAlignment="1">
      <alignment horizontal="center" vertical="center" wrapText="1"/>
    </xf>
    <xf numFmtId="0" fontId="14" fillId="0" borderId="12" xfId="12" applyFont="1" applyFill="1" applyBorder="1" applyAlignment="1">
      <alignment horizontal="center" wrapText="1"/>
    </xf>
    <xf numFmtId="0" fontId="14" fillId="0" borderId="13" xfId="12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9" fillId="0" borderId="12" xfId="4" applyFont="1" applyFill="1" applyBorder="1" applyAlignment="1">
      <alignment horizontal="center" wrapText="1"/>
    </xf>
    <xf numFmtId="0" fontId="9" fillId="0" borderId="13" xfId="4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13" fillId="3" borderId="10" xfId="12" applyFont="1" applyFill="1" applyBorder="1" applyAlignment="1">
      <alignment horizontal="center" vertical="center" wrapText="1"/>
    </xf>
    <xf numFmtId="0" fontId="16" fillId="0" borderId="12" xfId="4" applyFont="1" applyFill="1" applyBorder="1" applyAlignment="1">
      <alignment horizontal="center" wrapText="1"/>
    </xf>
    <xf numFmtId="0" fontId="16" fillId="0" borderId="13" xfId="4" applyFont="1" applyFill="1" applyBorder="1" applyAlignment="1">
      <alignment horizontal="center" wrapText="1"/>
    </xf>
  </cellXfs>
  <cellStyles count="13">
    <cellStyle name="Обычный" xfId="0" builtinId="0"/>
    <cellStyle name="Обычный 10" xfId="1"/>
    <cellStyle name="Обычный 11" xfId="2"/>
    <cellStyle name="Обычный 12" xfId="3"/>
    <cellStyle name="Обычный 2" xfId="4"/>
    <cellStyle name="Обычный 3" xfId="5"/>
    <cellStyle name="Обычный 4" xfId="6"/>
    <cellStyle name="Обычный 5" xfId="7"/>
    <cellStyle name="Обычный 5 2" xfId="12"/>
    <cellStyle name="Обычный 6" xfId="8"/>
    <cellStyle name="Обычный 7" xfId="9"/>
    <cellStyle name="Обычный 8" xfId="10"/>
    <cellStyle name="Обычный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60" Type="http://schemas.openxmlformats.org/officeDocument/2006/relationships/revisionLog" Target="revisionLog11.xml"/><Relationship Id="rId252" Type="http://schemas.openxmlformats.org/officeDocument/2006/relationships/revisionLog" Target="revisionLog111.xml"/><Relationship Id="rId265" Type="http://schemas.openxmlformats.org/officeDocument/2006/relationships/revisionLog" Target="revisionLog12.xml"/><Relationship Id="rId273" Type="http://schemas.openxmlformats.org/officeDocument/2006/relationships/revisionLog" Target="revisionLog13.xml"/><Relationship Id="rId281" Type="http://schemas.openxmlformats.org/officeDocument/2006/relationships/revisionLog" Target="revisionLog14.xml"/><Relationship Id="rId286" Type="http://schemas.openxmlformats.org/officeDocument/2006/relationships/revisionLog" Target="revisionLog15.xml"/><Relationship Id="rId294" Type="http://schemas.openxmlformats.org/officeDocument/2006/relationships/revisionLog" Target="revisionLog16.xml"/><Relationship Id="rId299" Type="http://schemas.openxmlformats.org/officeDocument/2006/relationships/revisionLog" Target="revisionLog17.xml"/><Relationship Id="rId303" Type="http://schemas.openxmlformats.org/officeDocument/2006/relationships/revisionLog" Target="revisionLog2.xml"/><Relationship Id="rId256" Type="http://schemas.openxmlformats.org/officeDocument/2006/relationships/revisionLog" Target="revisionLog131.xml"/><Relationship Id="rId251" Type="http://schemas.openxmlformats.org/officeDocument/2006/relationships/revisionLog" Target="revisionLog121.xml"/><Relationship Id="rId264" Type="http://schemas.openxmlformats.org/officeDocument/2006/relationships/revisionLog" Target="revisionLog141.xml"/><Relationship Id="rId269" Type="http://schemas.openxmlformats.org/officeDocument/2006/relationships/revisionLog" Target="revisionLog151.xml"/><Relationship Id="rId277" Type="http://schemas.openxmlformats.org/officeDocument/2006/relationships/revisionLog" Target="revisionLog161.xml"/><Relationship Id="rId285" Type="http://schemas.openxmlformats.org/officeDocument/2006/relationships/revisionLog" Target="revisionLog171.xml"/><Relationship Id="rId298" Type="http://schemas.openxmlformats.org/officeDocument/2006/relationships/revisionLog" Target="revisionLog18.xml"/><Relationship Id="rId272" Type="http://schemas.openxmlformats.org/officeDocument/2006/relationships/revisionLog" Target="revisionLog1611.xml"/><Relationship Id="rId280" Type="http://schemas.openxmlformats.org/officeDocument/2006/relationships/revisionLog" Target="revisionLog1711.xml"/><Relationship Id="rId293" Type="http://schemas.openxmlformats.org/officeDocument/2006/relationships/revisionLog" Target="revisionLog181.xml"/><Relationship Id="rId302" Type="http://schemas.openxmlformats.org/officeDocument/2006/relationships/revisionLog" Target="revisionLog1.xml"/><Relationship Id="rId255" Type="http://schemas.openxmlformats.org/officeDocument/2006/relationships/revisionLog" Target="revisionLog1411.xml"/><Relationship Id="rId263" Type="http://schemas.openxmlformats.org/officeDocument/2006/relationships/revisionLog" Target="revisionLog1511.xml"/><Relationship Id="rId268" Type="http://schemas.openxmlformats.org/officeDocument/2006/relationships/revisionLog" Target="revisionLog16111.xml"/><Relationship Id="rId271" Type="http://schemas.openxmlformats.org/officeDocument/2006/relationships/revisionLog" Target="revisionLog17111.xml"/><Relationship Id="rId276" Type="http://schemas.openxmlformats.org/officeDocument/2006/relationships/revisionLog" Target="revisionLog1811.xml"/><Relationship Id="rId284" Type="http://schemas.openxmlformats.org/officeDocument/2006/relationships/revisionLog" Target="revisionLog19.xml"/><Relationship Id="rId289" Type="http://schemas.openxmlformats.org/officeDocument/2006/relationships/revisionLog" Target="revisionLog110.xml"/><Relationship Id="rId292" Type="http://schemas.openxmlformats.org/officeDocument/2006/relationships/revisionLog" Target="revisionLog112.xml"/><Relationship Id="rId297" Type="http://schemas.openxmlformats.org/officeDocument/2006/relationships/revisionLog" Target="revisionLog113.xml"/><Relationship Id="rId254" Type="http://schemas.openxmlformats.org/officeDocument/2006/relationships/revisionLog" Target="revisionLog14111.xml"/><Relationship Id="rId259" Type="http://schemas.openxmlformats.org/officeDocument/2006/relationships/revisionLog" Target="revisionLog161111.xml"/><Relationship Id="rId267" Type="http://schemas.openxmlformats.org/officeDocument/2006/relationships/revisionLog" Target="revisionLog171111.xml"/><Relationship Id="rId288" Type="http://schemas.openxmlformats.org/officeDocument/2006/relationships/revisionLog" Target="revisionLog1101.xml"/><Relationship Id="rId301" Type="http://schemas.openxmlformats.org/officeDocument/2006/relationships/revisionLog" Target="revisionLog114.xml"/><Relationship Id="rId262" Type="http://schemas.openxmlformats.org/officeDocument/2006/relationships/revisionLog" Target="revisionLog15111.xml"/><Relationship Id="rId270" Type="http://schemas.openxmlformats.org/officeDocument/2006/relationships/revisionLog" Target="revisionLog18111.xml"/><Relationship Id="rId275" Type="http://schemas.openxmlformats.org/officeDocument/2006/relationships/revisionLog" Target="revisionLog191.xml"/><Relationship Id="rId283" Type="http://schemas.openxmlformats.org/officeDocument/2006/relationships/revisionLog" Target="revisionLog11011.xml"/><Relationship Id="rId291" Type="http://schemas.openxmlformats.org/officeDocument/2006/relationships/revisionLog" Target="revisionLog1121.xml"/><Relationship Id="rId296" Type="http://schemas.openxmlformats.org/officeDocument/2006/relationships/revisionLog" Target="revisionLog1131.xml"/><Relationship Id="rId300" Type="http://schemas.openxmlformats.org/officeDocument/2006/relationships/revisionLog" Target="revisionLog1141.xml"/><Relationship Id="rId258" Type="http://schemas.openxmlformats.org/officeDocument/2006/relationships/revisionLog" Target="revisionLog1911.xml"/><Relationship Id="rId253" Type="http://schemas.openxmlformats.org/officeDocument/2006/relationships/revisionLog" Target="revisionLog1611111.xml"/><Relationship Id="rId261" Type="http://schemas.openxmlformats.org/officeDocument/2006/relationships/revisionLog" Target="revisionLog151111.xml"/><Relationship Id="rId266" Type="http://schemas.openxmlformats.org/officeDocument/2006/relationships/revisionLog" Target="revisionLog1711111.xml"/><Relationship Id="rId274" Type="http://schemas.openxmlformats.org/officeDocument/2006/relationships/revisionLog" Target="revisionLog110111.xml"/><Relationship Id="rId279" Type="http://schemas.openxmlformats.org/officeDocument/2006/relationships/revisionLog" Target="revisionLog11211.xml"/><Relationship Id="rId287" Type="http://schemas.openxmlformats.org/officeDocument/2006/relationships/revisionLog" Target="revisionLog11311.xml"/><Relationship Id="rId295" Type="http://schemas.openxmlformats.org/officeDocument/2006/relationships/revisionLog" Target="revisionLog11411.xml"/><Relationship Id="rId257" Type="http://schemas.openxmlformats.org/officeDocument/2006/relationships/revisionLog" Target="revisionLog19111.xml"/><Relationship Id="rId278" Type="http://schemas.openxmlformats.org/officeDocument/2006/relationships/revisionLog" Target="revisionLog112111.xml"/><Relationship Id="rId282" Type="http://schemas.openxmlformats.org/officeDocument/2006/relationships/revisionLog" Target="revisionLog113111.xml"/><Relationship Id="rId290" Type="http://schemas.openxmlformats.org/officeDocument/2006/relationships/revisionLog" Target="revisionLog11411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91F87FF-2456-45CF-81AB-88C943158AA4}" diskRevisions="1" revisionId="17352" version="75" protected="1">
  <header guid="{A89BC106-A455-4B61-9A50-DB7F2FC5B7CC}" dateTime="2014-09-01T16:09:34" maxSheetId="9" userName="Мамедова Фарида" r:id="rId251" minRId="15709" maxRId="15764">
    <sheetIdMap count="8">
      <sheetId val="5"/>
      <sheetId val="2"/>
      <sheetId val="1"/>
      <sheetId val="3"/>
      <sheetId val="4"/>
      <sheetId val="6"/>
      <sheetId val="7"/>
      <sheetId val="8"/>
    </sheetIdMap>
  </header>
  <header guid="{5D2371B4-95E0-447C-BDF2-1E1DAC9300CE}" dateTime="2014-09-01T17:25:29" maxSheetId="9" userName="Мамедова Фарида" r:id="rId252">
    <sheetIdMap count="8">
      <sheetId val="5"/>
      <sheetId val="2"/>
      <sheetId val="1"/>
      <sheetId val="3"/>
      <sheetId val="4"/>
      <sheetId val="6"/>
      <sheetId val="7"/>
      <sheetId val="8"/>
    </sheetIdMap>
  </header>
  <header guid="{78B2E3E3-BB86-4154-93B1-852FD94DDB5B}" dateTime="2014-09-03T09:37:15" maxSheetId="9" userName="Мамедова Фарида" r:id="rId253" minRId="15777" maxRId="15812">
    <sheetIdMap count="8">
      <sheetId val="5"/>
      <sheetId val="2"/>
      <sheetId val="1"/>
      <sheetId val="3"/>
      <sheetId val="4"/>
      <sheetId val="6"/>
      <sheetId val="7"/>
      <sheetId val="8"/>
    </sheetIdMap>
  </header>
  <header guid="{745ADEE5-1B10-434A-802B-B699F6BB37A1}" dateTime="2014-09-03T09:39:30" maxSheetId="9" userName="Мамедова Фарида" r:id="rId254" minRId="15819" maxRId="15834">
    <sheetIdMap count="8">
      <sheetId val="5"/>
      <sheetId val="2"/>
      <sheetId val="1"/>
      <sheetId val="3"/>
      <sheetId val="4"/>
      <sheetId val="6"/>
      <sheetId val="7"/>
      <sheetId val="8"/>
    </sheetIdMap>
  </header>
  <header guid="{90CFB7FE-83CE-41C7-8789-D3E63C12FF96}" dateTime="2014-09-03T09:42:00" maxSheetId="9" userName="Мамедова Фарида" r:id="rId255" minRId="15841" maxRId="15864">
    <sheetIdMap count="8">
      <sheetId val="5"/>
      <sheetId val="2"/>
      <sheetId val="1"/>
      <sheetId val="3"/>
      <sheetId val="4"/>
      <sheetId val="6"/>
      <sheetId val="7"/>
      <sheetId val="8"/>
    </sheetIdMap>
  </header>
  <header guid="{11EBE0D9-106A-4B83-9841-4B95E92F01A7}" dateTime="2014-09-04T16:34:19" maxSheetId="9" userName="Мамедова Фарида" r:id="rId256" minRId="15871" maxRId="15887">
    <sheetIdMap count="8">
      <sheetId val="5"/>
      <sheetId val="2"/>
      <sheetId val="1"/>
      <sheetId val="3"/>
      <sheetId val="4"/>
      <sheetId val="6"/>
      <sheetId val="7"/>
      <sheetId val="8"/>
    </sheetIdMap>
  </header>
  <header guid="{0A56EDE2-8B52-4BB3-87D3-A1D0379A65CA}" dateTime="2014-09-04T16:56:51" maxSheetId="9" userName="Мамедова Фарида" r:id="rId257" minRId="15894" maxRId="15905">
    <sheetIdMap count="8">
      <sheetId val="5"/>
      <sheetId val="2"/>
      <sheetId val="1"/>
      <sheetId val="3"/>
      <sheetId val="4"/>
      <sheetId val="6"/>
      <sheetId val="7"/>
      <sheetId val="8"/>
    </sheetIdMap>
  </header>
  <header guid="{39A62DE5-20B4-4A71-869C-A2508958A258}" dateTime="2014-09-04T16:56:52" maxSheetId="9" userName="Мамедова Фарида" r:id="rId258">
    <sheetIdMap count="8">
      <sheetId val="5"/>
      <sheetId val="2"/>
      <sheetId val="1"/>
      <sheetId val="3"/>
      <sheetId val="4"/>
      <sheetId val="6"/>
      <sheetId val="7"/>
      <sheetId val="8"/>
    </sheetIdMap>
  </header>
  <header guid="{0FE1FFAA-5775-4600-BE4D-674F4CFCA578}" dateTime="2014-09-04T17:10:22" maxSheetId="9" userName="Мамедова Фарида" r:id="rId259" minRId="15918" maxRId="15921">
    <sheetIdMap count="8">
      <sheetId val="5"/>
      <sheetId val="2"/>
      <sheetId val="1"/>
      <sheetId val="3"/>
      <sheetId val="4"/>
      <sheetId val="6"/>
      <sheetId val="7"/>
      <sheetId val="8"/>
    </sheetIdMap>
  </header>
  <header guid="{19E9009B-946E-4A76-A312-A5CE0DCE83C6}" dateTime="2014-09-05T10:01:34" maxSheetId="9" userName="Мамедова Фарида" r:id="rId260" minRId="15928" maxRId="15967">
    <sheetIdMap count="8">
      <sheetId val="5"/>
      <sheetId val="2"/>
      <sheetId val="1"/>
      <sheetId val="3"/>
      <sheetId val="4"/>
      <sheetId val="6"/>
      <sheetId val="7"/>
      <sheetId val="8"/>
    </sheetIdMap>
  </header>
  <header guid="{2F77042F-30F4-4690-A8B2-BC0715EAAF04}" dateTime="2014-10-01T11:19:03" maxSheetId="9" userName="Мамедова Фарида" r:id="rId261" minRId="15974" maxRId="15985">
    <sheetIdMap count="8">
      <sheetId val="5"/>
      <sheetId val="2"/>
      <sheetId val="1"/>
      <sheetId val="3"/>
      <sheetId val="4"/>
      <sheetId val="6"/>
      <sheetId val="7"/>
      <sheetId val="8"/>
    </sheetIdMap>
  </header>
  <header guid="{3EB218BF-2964-4947-877C-8E145FE696FD}" dateTime="2014-10-01T11:33:05" maxSheetId="9" userName="Мамедова Фарида" r:id="rId262" minRId="15986" maxRId="16033">
    <sheetIdMap count="8">
      <sheetId val="5"/>
      <sheetId val="2"/>
      <sheetId val="1"/>
      <sheetId val="3"/>
      <sheetId val="4"/>
      <sheetId val="6"/>
      <sheetId val="7"/>
      <sheetId val="8"/>
    </sheetIdMap>
  </header>
  <header guid="{49BD5FBC-E0C6-4999-9E21-F58ECAEAF073}" dateTime="2014-10-01T11:40:20" maxSheetId="9" userName="Мамедова Фарида" r:id="rId263" minRId="16040" maxRId="16089">
    <sheetIdMap count="8">
      <sheetId val="5"/>
      <sheetId val="2"/>
      <sheetId val="1"/>
      <sheetId val="3"/>
      <sheetId val="4"/>
      <sheetId val="6"/>
      <sheetId val="7"/>
      <sheetId val="8"/>
    </sheetIdMap>
  </header>
  <header guid="{ACE50949-5EEF-43D7-88FB-E6C8156CEE5F}" dateTime="2014-10-01T11:44:32" maxSheetId="9" userName="Мамедова Фарида" r:id="rId264" minRId="16096" maxRId="16123">
    <sheetIdMap count="8">
      <sheetId val="5"/>
      <sheetId val="2"/>
      <sheetId val="1"/>
      <sheetId val="3"/>
      <sheetId val="4"/>
      <sheetId val="6"/>
      <sheetId val="7"/>
      <sheetId val="8"/>
    </sheetIdMap>
  </header>
  <header guid="{CE0B26D0-46A2-4816-B251-56BD977D2748}" dateTime="2014-10-01T11:50:11" maxSheetId="9" userName="Мамедова Фарида" r:id="rId265" minRId="16130" maxRId="16165">
    <sheetIdMap count="8">
      <sheetId val="5"/>
      <sheetId val="2"/>
      <sheetId val="1"/>
      <sheetId val="3"/>
      <sheetId val="4"/>
      <sheetId val="6"/>
      <sheetId val="7"/>
      <sheetId val="8"/>
    </sheetIdMap>
  </header>
  <header guid="{608ACE12-2FE5-4B8F-84F4-9FA3BB8FFBE0}" dateTime="2014-10-01T11:50:12" maxSheetId="9" userName="Мамедова Фарида" r:id="rId266">
    <sheetIdMap count="8">
      <sheetId val="5"/>
      <sheetId val="2"/>
      <sheetId val="1"/>
      <sheetId val="3"/>
      <sheetId val="4"/>
      <sheetId val="6"/>
      <sheetId val="7"/>
      <sheetId val="8"/>
    </sheetIdMap>
  </header>
  <header guid="{A331FC4C-538B-404C-AF44-898F7F96F66F}" dateTime="2014-10-01T11:52:08" maxSheetId="9" userName="Мамедова Фарида" r:id="rId267">
    <sheetIdMap count="8">
      <sheetId val="5"/>
      <sheetId val="2"/>
      <sheetId val="1"/>
      <sheetId val="3"/>
      <sheetId val="4"/>
      <sheetId val="6"/>
      <sheetId val="7"/>
      <sheetId val="8"/>
    </sheetIdMap>
  </header>
  <header guid="{570665E0-F99E-41CF-BA29-C5888010F74B}" dateTime="2014-10-01T11:52:09" maxSheetId="9" userName="Мамедова Фарида" r:id="rId268">
    <sheetIdMap count="8">
      <sheetId val="5"/>
      <sheetId val="2"/>
      <sheetId val="1"/>
      <sheetId val="3"/>
      <sheetId val="4"/>
      <sheetId val="6"/>
      <sheetId val="7"/>
      <sheetId val="8"/>
    </sheetIdMap>
  </header>
  <header guid="{456F740A-16CF-4E21-B9C7-2FB473396B8F}" dateTime="2014-10-01T12:09:46" maxSheetId="9" userName="Мамедова Фарида" r:id="rId269" minRId="16190" maxRId="16241">
    <sheetIdMap count="8">
      <sheetId val="5"/>
      <sheetId val="2"/>
      <sheetId val="1"/>
      <sheetId val="3"/>
      <sheetId val="4"/>
      <sheetId val="6"/>
      <sheetId val="7"/>
      <sheetId val="8"/>
    </sheetIdMap>
  </header>
  <header guid="{C1D70437-3934-4B4C-9390-51F53F22F431}" dateTime="2014-10-01T12:12:22" maxSheetId="9" userName="Мамедова Фарида" r:id="rId270" minRId="16248" maxRId="16259">
    <sheetIdMap count="8">
      <sheetId val="5"/>
      <sheetId val="2"/>
      <sheetId val="1"/>
      <sheetId val="3"/>
      <sheetId val="4"/>
      <sheetId val="6"/>
      <sheetId val="7"/>
      <sheetId val="8"/>
    </sheetIdMap>
  </header>
  <header guid="{A12C0BFF-F476-47CF-BEAB-29D200A121D0}" dateTime="2014-10-01T12:12:22" maxSheetId="9" userName="Мамедова Фарида" r:id="rId271">
    <sheetIdMap count="8">
      <sheetId val="5"/>
      <sheetId val="2"/>
      <sheetId val="1"/>
      <sheetId val="3"/>
      <sheetId val="4"/>
      <sheetId val="6"/>
      <sheetId val="7"/>
      <sheetId val="8"/>
    </sheetIdMap>
  </header>
  <header guid="{61136790-51E1-4E82-AE5C-FDBC9F39A0ED}" dateTime="2014-10-01T14:08:41" maxSheetId="9" userName="Мамедова Фарида" r:id="rId272" minRId="16272" maxRId="16279">
    <sheetIdMap count="8">
      <sheetId val="5"/>
      <sheetId val="2"/>
      <sheetId val="1"/>
      <sheetId val="3"/>
      <sheetId val="4"/>
      <sheetId val="6"/>
      <sheetId val="7"/>
      <sheetId val="8"/>
    </sheetIdMap>
  </header>
  <header guid="{255CC28C-4B26-4FC3-A9BD-4A2866B1E334}" dateTime="2014-10-20T16:59:27" maxSheetId="9" userName="Мамедова Фарида" r:id="rId273">
    <sheetIdMap count="8">
      <sheetId val="5"/>
      <sheetId val="2"/>
      <sheetId val="1"/>
      <sheetId val="3"/>
      <sheetId val="4"/>
      <sheetId val="6"/>
      <sheetId val="7"/>
      <sheetId val="8"/>
    </sheetIdMap>
  </header>
  <header guid="{726481BF-0A63-472C-8713-1EBEDBD579C8}" dateTime="2014-10-21T09:28:41" maxSheetId="9" userName="Мамедова Фарида" r:id="rId274" minRId="16292" maxRId="16300">
    <sheetIdMap count="8">
      <sheetId val="5"/>
      <sheetId val="2"/>
      <sheetId val="1"/>
      <sheetId val="3"/>
      <sheetId val="4"/>
      <sheetId val="6"/>
      <sheetId val="7"/>
      <sheetId val="8"/>
    </sheetIdMap>
  </header>
  <header guid="{F47F298A-6CC4-4FAC-9099-E3A46B71B751}" dateTime="2014-10-21T10:53:56" maxSheetId="9" userName="Мамедова Фарида" r:id="rId275" minRId="16307" maxRId="16345">
    <sheetIdMap count="8">
      <sheetId val="5"/>
      <sheetId val="2"/>
      <sheetId val="1"/>
      <sheetId val="3"/>
      <sheetId val="4"/>
      <sheetId val="6"/>
      <sheetId val="7"/>
      <sheetId val="8"/>
    </sheetIdMap>
  </header>
  <header guid="{F886C914-4EAB-467D-9F0A-478A2296FC49}" dateTime="2014-10-21T11:01:48" maxSheetId="9" userName="Мамедова Фарида" r:id="rId276" minRId="16352" maxRId="16390">
    <sheetIdMap count="8">
      <sheetId val="5"/>
      <sheetId val="2"/>
      <sheetId val="1"/>
      <sheetId val="3"/>
      <sheetId val="4"/>
      <sheetId val="6"/>
      <sheetId val="7"/>
      <sheetId val="8"/>
    </sheetIdMap>
  </header>
  <header guid="{EE560B37-008D-4049-8D84-30450376B6DD}" dateTime="2014-10-21T11:03:17" maxSheetId="9" userName="Мамедова Фарида" r:id="rId277" minRId="16397" maxRId="16405">
    <sheetIdMap count="8">
      <sheetId val="5"/>
      <sheetId val="2"/>
      <sheetId val="1"/>
      <sheetId val="3"/>
      <sheetId val="4"/>
      <sheetId val="6"/>
      <sheetId val="7"/>
      <sheetId val="8"/>
    </sheetIdMap>
  </header>
  <header guid="{7652D379-E139-4E4A-8D96-D9B27AD2BFDA}" dateTime="2014-10-21T11:14:12" maxSheetId="9" userName="Мамедова Фарида" r:id="rId278" minRId="16412" maxRId="16416">
    <sheetIdMap count="8">
      <sheetId val="5"/>
      <sheetId val="2"/>
      <sheetId val="1"/>
      <sheetId val="3"/>
      <sheetId val="4"/>
      <sheetId val="6"/>
      <sheetId val="7"/>
      <sheetId val="8"/>
    </sheetIdMap>
  </header>
  <header guid="{1036479D-4A7F-43BA-A93E-61367C687491}" dateTime="2014-10-21T15:45:20" maxSheetId="9" userName="Мамедова Фарида" r:id="rId279" minRId="16423" maxRId="16447">
    <sheetIdMap count="8">
      <sheetId val="5"/>
      <sheetId val="2"/>
      <sheetId val="1"/>
      <sheetId val="3"/>
      <sheetId val="4"/>
      <sheetId val="6"/>
      <sheetId val="7"/>
      <sheetId val="8"/>
    </sheetIdMap>
  </header>
  <header guid="{581D167F-21D2-43F9-90F3-1885AD8BEA1E}" dateTime="2014-10-21T15:45:55" maxSheetId="9" userName="Мамедова Фарида" r:id="rId280" minRId="16454" maxRId="16467">
    <sheetIdMap count="8">
      <sheetId val="5"/>
      <sheetId val="2"/>
      <sheetId val="1"/>
      <sheetId val="3"/>
      <sheetId val="4"/>
      <sheetId val="6"/>
      <sheetId val="7"/>
      <sheetId val="8"/>
    </sheetIdMap>
  </header>
  <header guid="{2EEB3A4E-6490-4642-A850-A31F3858003E}" dateTime="2014-10-21T16:00:45" maxSheetId="9" userName="Мамедова Фарида" r:id="rId281" minRId="16474" maxRId="16583">
    <sheetIdMap count="8">
      <sheetId val="5"/>
      <sheetId val="2"/>
      <sheetId val="1"/>
      <sheetId val="3"/>
      <sheetId val="4"/>
      <sheetId val="6"/>
      <sheetId val="7"/>
      <sheetId val="8"/>
    </sheetIdMap>
  </header>
  <header guid="{212F9E0C-E6C7-4D9F-BB49-6506DDF3FCB0}" dateTime="2014-10-21T16:04:57" maxSheetId="9" userName="Мамедова Фарида" r:id="rId282" minRId="16590" maxRId="16635">
    <sheetIdMap count="8">
      <sheetId val="5"/>
      <sheetId val="2"/>
      <sheetId val="1"/>
      <sheetId val="3"/>
      <sheetId val="4"/>
      <sheetId val="6"/>
      <sheetId val="7"/>
      <sheetId val="8"/>
    </sheetIdMap>
  </header>
  <header guid="{0AA2B000-7CBB-41B0-A6B0-1D0E3918FD49}" dateTime="2014-10-21T16:18:42" maxSheetId="9" userName="Мамедова Фарида" r:id="rId283" minRId="16642" maxRId="16698">
    <sheetIdMap count="8">
      <sheetId val="5"/>
      <sheetId val="2"/>
      <sheetId val="1"/>
      <sheetId val="3"/>
      <sheetId val="4"/>
      <sheetId val="6"/>
      <sheetId val="7"/>
      <sheetId val="8"/>
    </sheetIdMap>
  </header>
  <header guid="{95843DF1-B157-4F4F-A43E-6246E2B4EE73}" dateTime="2014-10-21T16:28:25" maxSheetId="9" userName="Мамедова Фарида" r:id="rId284" minRId="16705" maxRId="16782">
    <sheetIdMap count="8">
      <sheetId val="5"/>
      <sheetId val="2"/>
      <sheetId val="1"/>
      <sheetId val="3"/>
      <sheetId val="4"/>
      <sheetId val="6"/>
      <sheetId val="7"/>
      <sheetId val="8"/>
    </sheetIdMap>
  </header>
  <header guid="{03F56DFB-F835-45E3-888B-767D35AB4332}" dateTime="2014-10-21T16:28:39" maxSheetId="9" userName="Мамедова Фарида" r:id="rId285" minRId="16789">
    <sheetIdMap count="8">
      <sheetId val="5"/>
      <sheetId val="2"/>
      <sheetId val="1"/>
      <sheetId val="3"/>
      <sheetId val="4"/>
      <sheetId val="6"/>
      <sheetId val="7"/>
      <sheetId val="8"/>
    </sheetIdMap>
  </header>
  <header guid="{8B970E3C-F597-43F3-B8C9-87DDFCD5AE4C}" dateTime="2014-10-21T16:29:22" maxSheetId="9" userName="Мамедова Фарида" r:id="rId286">
    <sheetIdMap count="8">
      <sheetId val="5"/>
      <sheetId val="2"/>
      <sheetId val="1"/>
      <sheetId val="3"/>
      <sheetId val="4"/>
      <sheetId val="6"/>
      <sheetId val="7"/>
      <sheetId val="8"/>
    </sheetIdMap>
  </header>
  <header guid="{AE6ADA07-AD8C-4F4B-80BE-05F07B6F1884}" dateTime="2014-10-21T17:22:17" maxSheetId="9" userName="Мамедова Фарида" r:id="rId287" minRId="16802" maxRId="16880">
    <sheetIdMap count="8">
      <sheetId val="5"/>
      <sheetId val="2"/>
      <sheetId val="1"/>
      <sheetId val="3"/>
      <sheetId val="4"/>
      <sheetId val="6"/>
      <sheetId val="7"/>
      <sheetId val="8"/>
    </sheetIdMap>
  </header>
  <header guid="{3B246C82-64F9-4739-B07A-4EA727985937}" dateTime="2014-10-21T17:30:19" maxSheetId="9" userName="Мамедова Фарида" r:id="rId288" minRId="16887" maxRId="16969">
    <sheetIdMap count="8">
      <sheetId val="5"/>
      <sheetId val="2"/>
      <sheetId val="1"/>
      <sheetId val="3"/>
      <sheetId val="4"/>
      <sheetId val="6"/>
      <sheetId val="7"/>
      <sheetId val="8"/>
    </sheetIdMap>
  </header>
  <header guid="{746B4109-FC43-49C3-8284-C096502CB283}" dateTime="2014-10-21T17:33:16" maxSheetId="9" userName="Мамедова Фарида" r:id="rId289" minRId="16976" maxRId="17015">
    <sheetIdMap count="8">
      <sheetId val="5"/>
      <sheetId val="2"/>
      <sheetId val="1"/>
      <sheetId val="3"/>
      <sheetId val="4"/>
      <sheetId val="6"/>
      <sheetId val="7"/>
      <sheetId val="8"/>
    </sheetIdMap>
  </header>
  <header guid="{ACF8F7E4-E87A-451B-ABDA-3E56D5DB9BEF}" dateTime="2014-10-21T17:44:27" maxSheetId="9" userName="Мамедова Фарида" r:id="rId290" minRId="17022" maxRId="17097">
    <sheetIdMap count="8">
      <sheetId val="5"/>
      <sheetId val="2"/>
      <sheetId val="1"/>
      <sheetId val="3"/>
      <sheetId val="4"/>
      <sheetId val="6"/>
      <sheetId val="7"/>
      <sheetId val="8"/>
    </sheetIdMap>
  </header>
  <header guid="{F7A8B4C3-6E32-4B42-A823-BADD80CC925F}" dateTime="2014-10-21T17:44:28" maxSheetId="9" userName="Мамедова Фарида" r:id="rId291">
    <sheetIdMap count="8">
      <sheetId val="5"/>
      <sheetId val="2"/>
      <sheetId val="1"/>
      <sheetId val="3"/>
      <sheetId val="4"/>
      <sheetId val="6"/>
      <sheetId val="7"/>
      <sheetId val="8"/>
    </sheetIdMap>
  </header>
  <header guid="{F7EB85F5-5149-4C2F-9CC1-2146782E9316}" dateTime="2014-10-21T17:44:28" maxSheetId="9" userName="Мамедова Фарида" r:id="rId292">
    <sheetIdMap count="8">
      <sheetId val="5"/>
      <sheetId val="2"/>
      <sheetId val="1"/>
      <sheetId val="3"/>
      <sheetId val="4"/>
      <sheetId val="6"/>
      <sheetId val="7"/>
      <sheetId val="8"/>
    </sheetIdMap>
  </header>
  <header guid="{D2A8FEC8-08B8-4B5A-8E22-6F219EEA5A6C}" dateTime="2014-10-21T17:50:16" maxSheetId="9" userName="Мамедова Фарида" r:id="rId293">
    <sheetIdMap count="8">
      <sheetId val="5"/>
      <sheetId val="2"/>
      <sheetId val="1"/>
      <sheetId val="3"/>
      <sheetId val="4"/>
      <sheetId val="6"/>
      <sheetId val="7"/>
      <sheetId val="8"/>
    </sheetIdMap>
  </header>
  <header guid="{6C657267-B0EA-4E37-94C4-F5511230BD50}" dateTime="2014-11-14T15:14:43" maxSheetId="9" userName="Мамедова Фарида" r:id="rId294">
    <sheetIdMap count="8">
      <sheetId val="5"/>
      <sheetId val="2"/>
      <sheetId val="1"/>
      <sheetId val="3"/>
      <sheetId val="4"/>
      <sheetId val="6"/>
      <sheetId val="7"/>
      <sheetId val="8"/>
    </sheetIdMap>
  </header>
  <header guid="{413AB880-DD01-4F29-B7B7-495924C3665D}" dateTime="2014-11-14T15:16:11" maxSheetId="9" userName="Мамедова Фарида" r:id="rId295" minRId="17128" maxRId="17139">
    <sheetIdMap count="8">
      <sheetId val="5"/>
      <sheetId val="2"/>
      <sheetId val="1"/>
      <sheetId val="3"/>
      <sheetId val="4"/>
      <sheetId val="6"/>
      <sheetId val="7"/>
      <sheetId val="8"/>
    </sheetIdMap>
  </header>
  <header guid="{4FD2F87F-C9E3-448C-B5D2-06F153807237}" dateTime="2014-11-14T15:17:18" maxSheetId="9" userName="Мамедова Фарида" r:id="rId296">
    <sheetIdMap count="8">
      <sheetId val="5"/>
      <sheetId val="2"/>
      <sheetId val="1"/>
      <sheetId val="3"/>
      <sheetId val="4"/>
      <sheetId val="6"/>
      <sheetId val="7"/>
      <sheetId val="8"/>
    </sheetIdMap>
  </header>
  <header guid="{77FAF4AE-16F0-4582-B568-9641E7D86967}" dateTime="2014-11-14T15:24:46" maxSheetId="9" userName="Мамедова Фарида" r:id="rId297" minRId="17146" maxRId="17149">
    <sheetIdMap count="8">
      <sheetId val="5"/>
      <sheetId val="2"/>
      <sheetId val="1"/>
      <sheetId val="3"/>
      <sheetId val="4"/>
      <sheetId val="6"/>
      <sheetId val="7"/>
      <sheetId val="8"/>
    </sheetIdMap>
  </header>
  <header guid="{709A53CC-0EA8-41DF-964F-FCB63F7D61B2}" dateTime="2014-11-14T15:41:14" maxSheetId="9" userName="Мамедова Фарида" r:id="rId298" minRId="17156" maxRId="17175">
    <sheetIdMap count="8">
      <sheetId val="5"/>
      <sheetId val="2"/>
      <sheetId val="1"/>
      <sheetId val="3"/>
      <sheetId val="4"/>
      <sheetId val="6"/>
      <sheetId val="7"/>
      <sheetId val="8"/>
    </sheetIdMap>
  </header>
  <header guid="{D98B5709-1DCD-4CF4-9660-D9955CA2839C}" dateTime="2014-11-14T15:52:25" maxSheetId="9" userName="Мамедова Фарида" r:id="rId299" minRId="17182" maxRId="17247">
    <sheetIdMap count="8">
      <sheetId val="5"/>
      <sheetId val="2"/>
      <sheetId val="1"/>
      <sheetId val="3"/>
      <sheetId val="4"/>
      <sheetId val="6"/>
      <sheetId val="7"/>
      <sheetId val="8"/>
    </sheetIdMap>
  </header>
  <header guid="{11099968-1707-4D04-A84F-FBB9BF4DC01A}" dateTime="2014-11-14T16:01:12" maxSheetId="9" userName="Мамедова Фарида" r:id="rId300" minRId="17254" maxRId="17301">
    <sheetIdMap count="8">
      <sheetId val="5"/>
      <sheetId val="2"/>
      <sheetId val="1"/>
      <sheetId val="3"/>
      <sheetId val="4"/>
      <sheetId val="6"/>
      <sheetId val="7"/>
      <sheetId val="8"/>
    </sheetIdMap>
  </header>
  <header guid="{56D676A2-7005-4C73-8CB0-A475AEBF1969}" dateTime="2014-11-14T16:16:03" maxSheetId="9" userName="Мамедова Фарида" r:id="rId301" minRId="17308">
    <sheetIdMap count="8">
      <sheetId val="5"/>
      <sheetId val="2"/>
      <sheetId val="1"/>
      <sheetId val="3"/>
      <sheetId val="4"/>
      <sheetId val="6"/>
      <sheetId val="7"/>
      <sheetId val="8"/>
    </sheetIdMap>
  </header>
  <header guid="{C88CC4D2-6783-4897-B69B-2679E28F8D62}" dateTime="2014-11-14T16:16:46" maxSheetId="9" userName="Мамедова Фарида" r:id="rId302" minRId="17315" maxRId="17316">
    <sheetIdMap count="8">
      <sheetId val="5"/>
      <sheetId val="2"/>
      <sheetId val="1"/>
      <sheetId val="3"/>
      <sheetId val="4"/>
      <sheetId val="6"/>
      <sheetId val="7"/>
      <sheetId val="8"/>
    </sheetIdMap>
  </header>
  <header guid="{891F87FF-2456-45CF-81AB-88C943158AA4}" dateTime="2014-11-21T16:07:51" maxSheetId="9" userName="Данченко Игорь Васильевич" r:id="rId303" minRId="17323" maxRId="17346">
    <sheetIdMap count="8">
      <sheetId val="5"/>
      <sheetId val="2"/>
      <sheetId val="1"/>
      <sheetId val="3"/>
      <sheetId val="4"/>
      <sheetId val="6"/>
      <sheetId val="7"/>
      <sheetId val="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7315" sId="4" numFmtId="4">
    <oc r="D223">
      <v>2</v>
    </oc>
    <nc r="D223">
      <v>5</v>
    </nc>
  </rcc>
  <rcc rId="17316" sId="4" numFmtId="4">
    <oc r="E237">
      <v>376</v>
    </oc>
    <nc r="E237">
      <v>375.5</v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'октябрь 2014г'!$C$21:$C$246</formula>
    <oldFormula>'октябрь 2014г'!$C$21:$C$246</oldFormula>
  </rdn>
  <rdn rId="0" localSheetId="3" customView="1" name="Z_A743F9C7_8B89_4E8F_B91F_1FFB859064F2_.wvu.Rows" hidden="1" oldHidden="1">
    <formula>'октябрь 2014г. по 6-10'!$2:$12</formula>
    <oldFormula>'октябрь 2014г. по 6-10'!$2:$12</oldFormula>
  </rdn>
  <rdn rId="0" localSheetId="3" customView="1" name="Z_A743F9C7_8B89_4E8F_B91F_1FFB859064F2_.wvu.FilterData" hidden="1" oldHidden="1">
    <formula>'октябрь 2014г. по 6-10'!$C$21:$C$130</formula>
    <oldFormula>'октябрь 2014г. по 6-10'!$C$21:$C$130</oldFormula>
  </rdn>
  <rdn rId="0" localSheetId="4" customView="1" name="Z_A743F9C7_8B89_4E8F_B91F_1FFB859064F2_.wvu.Rows" hidden="1" oldHidden="1">
    <formula>'октябрь 2014г. по 0,4'!$2:$12</formula>
    <oldFormula>'октябрь 2014г. по 0,4'!$2:$12</oldFormula>
  </rdn>
  <rdn rId="0" localSheetId="4" customView="1" name="Z_A743F9C7_8B89_4E8F_B91F_1FFB859064F2_.wvu.FilterData" hidden="1" oldHidden="1">
    <formula>'октябрь 2014г. по 0,4'!$C$18:$C$127</formula>
    <oldFormula>'октябрь 2014г. по 0,4'!$C$18:$C$127</oldFormula>
  </rdn>
  <rcv guid="{A743F9C7-8B89-4E8F-B91F-1FFB859064F2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15928" sId="3" numFmtId="4">
    <oc r="D169">
      <v>2</v>
    </oc>
    <nc r="D169">
      <v>3</v>
    </nc>
  </rcc>
  <rcc rId="15929" sId="3">
    <oc r="E169">
      <f>15+6</f>
    </oc>
    <nc r="E169">
      <f>60+15+6</f>
    </nc>
  </rcc>
  <rcc rId="15930" sId="3" numFmtId="4">
    <oc r="F169">
      <v>2</v>
    </oc>
    <nc r="F169">
      <v>3</v>
    </nc>
  </rcc>
  <rcc rId="15931" sId="3" numFmtId="4">
    <oc r="G169">
      <v>21</v>
    </oc>
    <nc r="G169">
      <v>81</v>
    </nc>
  </rcc>
  <rcc rId="15932" sId="4" numFmtId="4">
    <oc r="D205">
      <v>16</v>
    </oc>
    <nc r="D205">
      <v>17</v>
    </nc>
  </rcc>
  <rcc rId="15933" sId="4">
    <oc r="E205">
      <f>5+7.4+10+25+5+10+15+3+10+5+7.5+5+15+5+10+15</f>
    </oc>
    <nc r="E205">
      <f>5+7.4+10+25+5+10+15+3+10+5+7.5+15+5+15+5+10+15</f>
    </nc>
  </rcc>
  <rcc rId="15934" sId="4" numFmtId="4">
    <oc r="F205">
      <v>16</v>
    </oc>
    <nc r="F205">
      <v>17</v>
    </nc>
  </rcc>
  <rcc rId="15935" sId="4" numFmtId="4">
    <oc r="G205">
      <v>152.9</v>
    </oc>
    <nc r="G205">
      <v>167.9</v>
    </nc>
  </rcc>
  <rcc rId="15936" sId="4" numFmtId="4">
    <oc r="D240">
      <v>6</v>
    </oc>
    <nc r="D240">
      <v>8</v>
    </nc>
  </rcc>
  <rcc rId="15937" sId="4">
    <oc r="E240">
      <f>8+10+20+10+15+15</f>
    </oc>
    <nc r="E240">
      <f>8+10+20+8+15+10+15+15</f>
    </nc>
  </rcc>
  <rcc rId="15938" sId="4" numFmtId="4">
    <oc r="F240">
      <v>6</v>
    </oc>
    <nc r="F240">
      <v>8</v>
    </nc>
  </rcc>
  <rcc rId="15939" sId="4" numFmtId="4">
    <oc r="G240">
      <f>8+10+20+10+15+15</f>
    </oc>
    <nc r="G240">
      <v>101</v>
    </nc>
  </rcc>
  <rcc rId="15940" sId="3" numFmtId="4">
    <oc r="D215">
      <v>2</v>
    </oc>
    <nc r="D215">
      <v>3</v>
    </nc>
  </rcc>
  <rcc rId="15941" sId="3">
    <oc r="E215">
      <f>320+5</f>
    </oc>
    <nc r="E215">
      <f>10+320+5</f>
    </nc>
  </rcc>
  <rcc rId="15942" sId="3" numFmtId="4">
    <oc r="F215">
      <v>2</v>
    </oc>
    <nc r="F215">
      <v>3</v>
    </nc>
  </rcc>
  <rcc rId="15943" sId="3" numFmtId="4">
    <oc r="G215">
      <v>325</v>
    </oc>
    <nc r="G215">
      <v>335</v>
    </nc>
  </rcc>
  <rcc rId="15944" sId="3" numFmtId="4">
    <oc r="D155">
      <v>10</v>
    </oc>
    <nc r="D155">
      <v>11</v>
    </nc>
  </rcc>
  <rcc rId="15945" sId="3">
    <oc r="E155">
      <f>67.8+15+5+170+30+90+630+25+92+630</f>
    </oc>
    <nc r="E155">
      <f>67.8+15+5+170+30+90+15+630+25+92+630</f>
    </nc>
  </rcc>
  <rcc rId="15946" sId="3" numFmtId="4">
    <oc r="F155">
      <v>10</v>
    </oc>
    <nc r="F155">
      <v>11</v>
    </nc>
  </rcc>
  <rcc rId="15947" sId="3" numFmtId="4">
    <oc r="G155">
      <v>1754.8</v>
    </oc>
    <nc r="G155">
      <v>1769.8</v>
    </nc>
  </rcc>
  <rcc rId="15948" sId="3">
    <nc r="D29">
      <v>1</v>
    </nc>
  </rcc>
  <rcc rId="15949" sId="3">
    <nc r="E29">
      <v>30</v>
    </nc>
  </rcc>
  <rcc rId="15950" sId="3">
    <nc r="F29">
      <v>1</v>
    </nc>
  </rcc>
  <rcc rId="15951" sId="3">
    <nc r="G29">
      <v>30</v>
    </nc>
  </rcc>
  <rcc rId="15952" sId="3" numFmtId="4">
    <nc r="D168">
      <v>1</v>
    </nc>
  </rcc>
  <rcc rId="15953" sId="3" numFmtId="4">
    <nc r="E168">
      <v>40</v>
    </nc>
  </rcc>
  <rcc rId="15954" sId="3" numFmtId="4">
    <nc r="F168">
      <v>1</v>
    </nc>
  </rcc>
  <rcc rId="15955" sId="3" numFmtId="4">
    <nc r="G168">
      <v>40</v>
    </nc>
  </rcc>
  <rcc rId="15956" sId="4" numFmtId="4">
    <oc r="D63">
      <v>55</v>
    </oc>
    <nc r="D63">
      <v>56</v>
    </nc>
  </rcc>
  <rcc rId="15957" sId="4">
    <oc r="E63">
      <f>10+7+12+8+15+15+4+12+8+8+7+12+7+15+6+6+8+7+5+15+10+3+15+10+10+5+5+15+5+20+14+15+15+10+15+10+15+3+6+6+8+3+10+8+15+25+6+5+15+10+25+15+15+15+25</f>
    </oc>
    <nc r="E63">
      <f>10+7+12+8+15+15+4+12+8+8+7+12+7+15+6+6+8+7+5+15+10+3+15+10+10+5+5+15+5+20+14+15+15+10+15+10+15+3+6+6+8+6+3+10+8+15+25+6+5+15+10+25+15+15+15+25</f>
    </nc>
  </rcc>
  <rcc rId="15958" sId="4" numFmtId="4">
    <oc r="F63">
      <v>55</v>
    </oc>
    <nc r="F63">
      <v>56</v>
    </nc>
  </rcc>
  <rcc rId="15959" sId="4" numFmtId="4">
    <oc r="G63">
      <v>594</v>
    </oc>
    <nc r="G63">
      <v>600</v>
    </nc>
  </rcc>
  <rcc rId="15960" sId="4" numFmtId="4">
    <oc r="D64">
      <v>35</v>
    </oc>
    <nc r="D64">
      <v>37</v>
    </nc>
  </rcc>
  <rcc rId="15961" sId="4">
    <oc r="E64">
      <f>15+15+5+15+15+15+15+8+15+15+15+15+4.5+15+10+15+10+15+15+15+13+15+15+5+5+10+5+15+6+6+15+15+10+15+15</f>
    </oc>
    <nc r="E64">
      <f>15+15+5+15+15+15+15+8+15+15+15+15+4.5+15+10+15+10+15+15+15+13+15+15+5+5+15+10+5+15+6+6+15+10+15+10+15+15</f>
    </nc>
  </rcc>
  <rcc rId="15962" sId="4" numFmtId="4">
    <oc r="F64">
      <v>35</v>
    </oc>
    <nc r="F64">
      <v>37</v>
    </nc>
  </rcc>
  <rcc rId="15963" sId="4" numFmtId="4">
    <oc r="G64">
      <v>427.5</v>
    </oc>
    <nc r="G64">
      <v>452.5</v>
    </nc>
  </rcc>
  <rcc rId="15964" sId="3" numFmtId="4">
    <oc r="D99">
      <v>2</v>
    </oc>
    <nc r="D99">
      <v>3</v>
    </nc>
  </rcc>
  <rcc rId="15965" sId="3">
    <oc r="E99">
      <f>15+10</f>
    </oc>
    <nc r="E99">
      <f>15+10+131</f>
    </nc>
  </rcc>
  <rcc rId="15966" sId="3" numFmtId="4">
    <oc r="F99">
      <v>2</v>
    </oc>
    <nc r="F99">
      <v>3</v>
    </nc>
  </rcc>
  <rcc rId="15967" sId="3" numFmtId="4">
    <oc r="G99">
      <v>25</v>
    </oc>
    <nc r="G99">
      <v>156</v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'август 2014г'!$C$21:$C$246</formula>
    <oldFormula>'август 2014г'!$C$21:$C$246</oldFormula>
  </rdn>
  <rdn rId="0" localSheetId="3" customView="1" name="Z_A743F9C7_8B89_4E8F_B91F_1FFB859064F2_.wvu.Rows" hidden="1" oldHidden="1">
    <formula>'август 2014г. по 6-10'!$2:$12</formula>
    <oldFormula>'август 2014г. по 6-10'!$2:$12</oldFormula>
  </rdn>
  <rdn rId="0" localSheetId="3" customView="1" name="Z_A743F9C7_8B89_4E8F_B91F_1FFB859064F2_.wvu.FilterData" hidden="1" oldHidden="1">
    <formula>'август 2014г. по 6-10'!$C$21:$C$130</formula>
    <oldFormula>'август 2014г. по 6-10'!$C$21:$C$130</oldFormula>
  </rdn>
  <rdn rId="0" localSheetId="4" customView="1" name="Z_A743F9C7_8B89_4E8F_B91F_1FFB859064F2_.wvu.Rows" hidden="1" oldHidden="1">
    <formula>'август 2014г. по 0,4'!$2:$12</formula>
    <oldFormula>'август 2014г. по 0,4'!$2:$12</oldFormula>
  </rdn>
  <rdn rId="0" localSheetId="4" customView="1" name="Z_A743F9C7_8B89_4E8F_B91F_1FFB859064F2_.wvu.FilterData" hidden="1" oldHidden="1">
    <formula>'август 2014г. по 0,4'!$C$18:$C$127</formula>
    <oldFormula>'август 2014г. по 0,4'!$C$18:$C$127</oldFormula>
  </rdn>
  <rcv guid="{A743F9C7-8B89-4E8F-B91F-1FFB859064F2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16976" sId="4" numFmtId="4">
    <nc r="J43">
      <v>19</v>
    </nc>
  </rcc>
  <rcc rId="16977" sId="4" numFmtId="4">
    <nc r="K43">
      <v>215</v>
    </nc>
  </rcc>
  <rcc rId="16978" sId="4" numFmtId="4">
    <nc r="J45">
      <v>26</v>
    </nc>
  </rcc>
  <rcc rId="16979" sId="4" numFmtId="4">
    <nc r="K45">
      <v>290</v>
    </nc>
  </rcc>
  <rcc rId="16980" sId="4" numFmtId="4">
    <nc r="J48">
      <v>32</v>
    </nc>
  </rcc>
  <rcc rId="16981" sId="4" numFmtId="4">
    <nc r="K48">
      <v>358</v>
    </nc>
  </rcc>
  <rcc rId="16982" sId="4" numFmtId="4">
    <nc r="J51">
      <v>36</v>
    </nc>
  </rcc>
  <rcc rId="16983" sId="4" numFmtId="4">
    <nc r="K51">
      <v>480</v>
    </nc>
  </rcc>
  <rcc rId="16984" sId="4" numFmtId="4">
    <oc r="J53">
      <v>1</v>
    </oc>
    <nc r="J53">
      <v>18</v>
    </nc>
  </rcc>
  <rcc rId="16985" sId="4" numFmtId="4">
    <oc r="K53">
      <f>10</f>
    </oc>
    <nc r="K53">
      <v>230</v>
    </nc>
  </rcc>
  <rcc rId="16986" sId="4" numFmtId="4">
    <nc r="J54">
      <v>6</v>
    </nc>
  </rcc>
  <rcc rId="16987" sId="4" numFmtId="4">
    <nc r="K54">
      <v>78</v>
    </nc>
  </rcc>
  <rcc rId="16988" sId="4" numFmtId="4">
    <nc r="J57">
      <v>29</v>
    </nc>
  </rcc>
  <rcc rId="16989" sId="4" numFmtId="4">
    <nc r="K57">
      <v>360</v>
    </nc>
  </rcc>
  <rcc rId="16990" sId="4" numFmtId="4">
    <nc r="J67">
      <v>17</v>
    </nc>
  </rcc>
  <rcc rId="16991" sId="4" numFmtId="4">
    <nc r="K67">
      <v>214</v>
    </nc>
  </rcc>
  <rcc rId="16992" sId="4" numFmtId="4">
    <oc r="J63">
      <v>5</v>
    </oc>
    <nc r="J63">
      <v>15</v>
    </nc>
  </rcc>
  <rcc rId="16993" sId="4" numFmtId="4">
    <oc r="K63">
      <f>10+7+12+8+15</f>
    </oc>
    <nc r="K63">
      <v>190</v>
    </nc>
  </rcc>
  <rcc rId="16994" sId="4" numFmtId="4">
    <oc r="J64">
      <v>4</v>
    </oc>
    <nc r="J64">
      <v>16</v>
    </nc>
  </rcc>
  <rcc rId="16995" sId="4" numFmtId="4">
    <oc r="K64">
      <f>15+15+5+15</f>
    </oc>
    <nc r="K64">
      <v>170</v>
    </nc>
  </rcc>
  <rcc rId="16996" sId="4" numFmtId="4">
    <nc r="J75">
      <v>17</v>
    </nc>
  </rcc>
  <rcc rId="16997" sId="4" numFmtId="4">
    <nc r="K75">
      <v>203</v>
    </nc>
  </rcc>
  <rcc rId="16998" sId="4" numFmtId="4">
    <nc r="J73">
      <v>18</v>
    </nc>
  </rcc>
  <rcc rId="16999" sId="4" numFmtId="4">
    <nc r="K73">
      <v>198</v>
    </nc>
  </rcc>
  <rcc rId="17000" sId="4" numFmtId="4">
    <nc r="J101">
      <v>5</v>
    </nc>
  </rcc>
  <rcc rId="17001" sId="4" numFmtId="4">
    <nc r="K101">
      <v>56</v>
    </nc>
  </rcc>
  <rcc rId="17002" sId="4" numFmtId="4">
    <nc r="J102">
      <v>9</v>
    </nc>
  </rcc>
  <rcc rId="17003" sId="4" numFmtId="4">
    <nc r="K102">
      <v>123</v>
    </nc>
  </rcc>
  <rcc rId="17004" sId="4" numFmtId="4">
    <nc r="J103">
      <v>25</v>
    </nc>
  </rcc>
  <rcc rId="17005" sId="4" numFmtId="4">
    <nc r="K103">
      <v>280</v>
    </nc>
  </rcc>
  <rcc rId="17006" sId="4" numFmtId="4">
    <oc r="J104">
      <v>2</v>
    </oc>
    <nc r="J104">
      <v>22</v>
    </nc>
  </rcc>
  <rcc rId="17007" sId="4" numFmtId="4">
    <oc r="K104">
      <f>5+5</f>
    </oc>
    <nc r="K104">
      <v>264</v>
    </nc>
  </rcc>
  <rcc rId="17008" sId="4" numFmtId="4">
    <oc r="J105">
      <v>1</v>
    </oc>
    <nc r="J105">
      <v>11</v>
    </nc>
  </rcc>
  <rcc rId="17009" sId="4" numFmtId="4">
    <oc r="K105">
      <f>10</f>
    </oc>
    <nc r="K105">
      <v>140</v>
    </nc>
  </rcc>
  <rcc rId="17010" sId="4" numFmtId="4">
    <nc r="J106">
      <v>16</v>
    </nc>
  </rcc>
  <rcc rId="17011" sId="4" numFmtId="4">
    <nc r="K106">
      <v>180</v>
    </nc>
  </rcc>
  <rcc rId="17012" sId="4" numFmtId="4">
    <nc r="J107">
      <v>9</v>
    </nc>
  </rcc>
  <rcc rId="17013" sId="4" numFmtId="4">
    <nc r="K107">
      <v>72</v>
    </nc>
  </rcc>
  <rcc rId="17014" sId="4" numFmtId="4">
    <nc r="J111">
      <v>9</v>
    </nc>
  </rcc>
  <rcc rId="17015" sId="4" numFmtId="4">
    <nc r="K111">
      <v>87</v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'сентябрь 2014г'!$C$21:$C$246</formula>
    <oldFormula>'сентябрь 2014г'!$C$21:$C$246</oldFormula>
  </rdn>
  <rdn rId="0" localSheetId="3" customView="1" name="Z_A743F9C7_8B89_4E8F_B91F_1FFB859064F2_.wvu.Rows" hidden="1" oldHidden="1">
    <formula>'сентябрь 2014г. по 6-10'!$2:$12</formula>
    <oldFormula>'сентябрь 2014г. по 6-10'!$2:$12</oldFormula>
  </rdn>
  <rdn rId="0" localSheetId="3" customView="1" name="Z_A743F9C7_8B89_4E8F_B91F_1FFB859064F2_.wvu.FilterData" hidden="1" oldHidden="1">
    <formula>'сентябрь 2014г. по 6-10'!$C$21:$C$130</formula>
    <oldFormula>'сентябрь 2014г. по 6-10'!$C$21:$C$130</oldFormula>
  </rdn>
  <rdn rId="0" localSheetId="4" customView="1" name="Z_A743F9C7_8B89_4E8F_B91F_1FFB859064F2_.wvu.Rows" hidden="1" oldHidden="1">
    <formula>'сентябрь 2014г. по 0,4'!$2:$12</formula>
    <oldFormula>'сентябрь 2014г. по 0,4'!$2:$12</oldFormula>
  </rdn>
  <rdn rId="0" localSheetId="4" customView="1" name="Z_A743F9C7_8B89_4E8F_B91F_1FFB859064F2_.wvu.FilterData" hidden="1" oldHidden="1">
    <formula>'сентябрь 2014г. по 0,4'!$C$18:$C$127</formula>
    <oldFormula>'сентябрь 2014г. по 0,4'!$C$18:$C$127</oldFormula>
  </rdn>
  <rcv guid="{A743F9C7-8B89-4E8F-B91F-1FFB859064F2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16887" sId="4" numFmtId="4">
    <nc r="K201">
      <v>280</v>
    </nc>
  </rcc>
  <rcc rId="16888" sId="4" numFmtId="4">
    <nc r="K205">
      <v>255</v>
    </nc>
  </rcc>
  <rcc rId="16889" sId="4" numFmtId="4">
    <nc r="J207">
      <v>15</v>
    </nc>
  </rcc>
  <rcc rId="16890" sId="4" numFmtId="4">
    <nc r="K207">
      <v>70</v>
    </nc>
  </rcc>
  <rcc rId="16891" sId="4" numFmtId="4">
    <nc r="J208">
      <v>15</v>
    </nc>
  </rcc>
  <rcc rId="16892" sId="4" numFmtId="4">
    <nc r="K208">
      <v>85</v>
    </nc>
  </rcc>
  <rcc rId="16893" sId="4" numFmtId="4">
    <nc r="J209">
      <v>9</v>
    </nc>
  </rcc>
  <rcc rId="16894" sId="4" numFmtId="4">
    <nc r="K209">
      <v>69</v>
    </nc>
  </rcc>
  <rcc rId="16895" sId="4" numFmtId="4">
    <nc r="J210">
      <v>25</v>
    </nc>
  </rcc>
  <rcc rId="16896" sId="4" numFmtId="4">
    <nc r="K210">
      <v>223</v>
    </nc>
  </rcc>
  <rcc rId="16897" sId="4" numFmtId="4">
    <nc r="J211">
      <v>13</v>
    </nc>
  </rcc>
  <rcc rId="16898" sId="4" numFmtId="4">
    <nc r="K211">
      <v>98</v>
    </nc>
  </rcc>
  <rcc rId="16899" sId="4" numFmtId="4">
    <nc r="J212">
      <v>5</v>
    </nc>
  </rcc>
  <rcc rId="16900" sId="4" numFmtId="4">
    <nc r="K212">
      <v>70</v>
    </nc>
  </rcc>
  <rcc rId="16901" sId="4" numFmtId="4">
    <nc r="J214">
      <v>19</v>
    </nc>
  </rcc>
  <rcc rId="16902" sId="4" numFmtId="4">
    <nc r="K214">
      <v>145</v>
    </nc>
  </rcc>
  <rcc rId="16903" sId="4" numFmtId="4">
    <nc r="J201">
      <v>28</v>
    </nc>
  </rcc>
  <rcc rId="16904" sId="4" numFmtId="4">
    <nc r="J203">
      <v>16</v>
    </nc>
  </rcc>
  <rcc rId="16905" sId="4" numFmtId="4">
    <nc r="J205">
      <v>29</v>
    </nc>
  </rcc>
  <rcc rId="16906" sId="4" numFmtId="4">
    <nc r="K203">
      <v>145</v>
    </nc>
  </rcc>
  <rcc rId="16907" sId="4" numFmtId="4">
    <nc r="J184">
      <v>15</v>
    </nc>
  </rcc>
  <rcc rId="16908" sId="4" numFmtId="4">
    <nc r="K184">
      <v>150</v>
    </nc>
  </rcc>
  <rcc rId="16909" sId="4" numFmtId="4">
    <nc r="J194">
      <v>13</v>
    </nc>
  </rcc>
  <rcc rId="16910" sId="4" numFmtId="4">
    <nc r="K194">
      <v>141</v>
    </nc>
  </rcc>
  <rcc rId="16911" sId="4" numFmtId="4">
    <nc r="J198">
      <v>9</v>
    </nc>
  </rcc>
  <rcc rId="16912" sId="4" numFmtId="4">
    <nc r="K198">
      <v>82</v>
    </nc>
  </rcc>
  <rcc rId="16913" sId="4">
    <nc r="K199">
      <f>SUM(K194:K198)</f>
    </nc>
  </rcc>
  <rcc rId="16914" sId="4" numFmtId="4">
    <oc r="J171">
      <v>1</v>
    </oc>
    <nc r="J171">
      <v>11</v>
    </nc>
  </rcc>
  <rcc rId="16915" sId="4" numFmtId="4">
    <oc r="K171">
      <v>5</v>
    </oc>
    <nc r="K171">
      <v>99</v>
    </nc>
  </rcc>
  <rcc rId="16916" sId="4" numFmtId="4">
    <nc r="J152">
      <v>24</v>
    </nc>
  </rcc>
  <rcc rId="16917" sId="4" numFmtId="4">
    <nc r="K152">
      <v>186</v>
    </nc>
  </rcc>
  <rcc rId="16918" sId="4" numFmtId="4">
    <nc r="J153">
      <v>12</v>
    </nc>
  </rcc>
  <rcc rId="16919" sId="4" numFmtId="4">
    <nc r="K153">
      <v>96</v>
    </nc>
  </rcc>
  <rcc rId="16920" sId="4" numFmtId="4">
    <nc r="K155">
      <v>6</v>
    </nc>
  </rcc>
  <rcc rId="16921" sId="4" numFmtId="4">
    <nc r="J155">
      <v>1</v>
    </nc>
  </rcc>
  <rcc rId="16922" sId="4" numFmtId="4">
    <nc r="J157">
      <v>3</v>
    </nc>
  </rcc>
  <rcc rId="16923" sId="4" numFmtId="4">
    <nc r="K157">
      <v>18</v>
    </nc>
  </rcc>
  <rcc rId="16924" sId="4" numFmtId="4">
    <nc r="J161">
      <v>6</v>
    </nc>
  </rcc>
  <rcc rId="16925" sId="4" numFmtId="4">
    <nc r="K161">
      <v>36</v>
    </nc>
  </rcc>
  <rcc rId="16926" sId="4" numFmtId="4">
    <nc r="J163">
      <v>8</v>
    </nc>
  </rcc>
  <rcc rId="16927" sId="4" numFmtId="4">
    <nc r="K163">
      <v>48</v>
    </nc>
  </rcc>
  <rcc rId="16928" sId="4" numFmtId="4">
    <nc r="J166">
      <v>15</v>
    </nc>
  </rcc>
  <rcc rId="16929" sId="4" numFmtId="4">
    <nc r="K166">
      <v>78</v>
    </nc>
  </rcc>
  <rcc rId="16930" sId="4" numFmtId="4">
    <nc r="J167">
      <v>6</v>
    </nc>
  </rcc>
  <rcc rId="16931" sId="4" numFmtId="4">
    <nc r="K167">
      <v>46</v>
    </nc>
  </rcc>
  <rcc rId="16932" sId="4" numFmtId="4">
    <nc r="J128">
      <v>24</v>
    </nc>
  </rcc>
  <rcc rId="16933" sId="4" numFmtId="4">
    <nc r="K128">
      <v>190</v>
    </nc>
  </rcc>
  <rcc rId="16934" sId="4" numFmtId="4">
    <nc r="J129">
      <v>20</v>
    </nc>
  </rcc>
  <rcc rId="16935" sId="4" numFmtId="4">
    <nc r="K129">
      <v>200</v>
    </nc>
  </rcc>
  <rcc rId="16936" sId="4" numFmtId="4">
    <nc r="J131">
      <v>9</v>
    </nc>
  </rcc>
  <rcc rId="16937" sId="4" numFmtId="4">
    <nc r="K131">
      <v>87</v>
    </nc>
  </rcc>
  <rcc rId="16938" sId="4" numFmtId="4">
    <nc r="J21">
      <v>30</v>
    </nc>
  </rcc>
  <rcc rId="16939" sId="4" numFmtId="4">
    <nc r="K21">
      <v>312</v>
    </nc>
  </rcc>
  <rcc rId="16940" sId="4" numFmtId="4">
    <nc r="J25">
      <v>40</v>
    </nc>
  </rcc>
  <rcc rId="16941" sId="4" numFmtId="4">
    <nc r="K25">
      <v>390</v>
    </nc>
  </rcc>
  <rcc rId="16942" sId="4" numFmtId="4">
    <oc r="J27">
      <v>1</v>
    </oc>
    <nc r="J27">
      <v>31</v>
    </nc>
  </rcc>
  <rcc rId="16943" sId="4" numFmtId="4">
    <oc r="K27">
      <f>10</f>
    </oc>
    <nc r="K27">
      <v>340</v>
    </nc>
  </rcc>
  <rcc rId="16944" sId="4" numFmtId="4">
    <nc r="J28">
      <v>24</v>
    </nc>
  </rcc>
  <rcc rId="16945" sId="4" numFmtId="4">
    <nc r="K28">
      <v>301</v>
    </nc>
  </rcc>
  <rcc rId="16946" sId="4" numFmtId="4">
    <nc r="J29">
      <v>25</v>
    </nc>
  </rcc>
  <rcc rId="16947" sId="4" numFmtId="4">
    <nc r="K29">
      <v>280</v>
    </nc>
  </rcc>
  <rcc rId="16948" sId="4" numFmtId="4">
    <nc r="J30">
      <v>41</v>
    </nc>
  </rcc>
  <rcc rId="16949" sId="4" numFmtId="4">
    <nc r="K30">
      <v>509</v>
    </nc>
  </rcc>
  <rcc rId="16950" sId="4" numFmtId="4">
    <oc r="J31">
      <v>1</v>
    </oc>
    <nc r="J31">
      <v>16</v>
    </nc>
  </rcc>
  <rcc rId="16951" sId="4" numFmtId="4">
    <oc r="K31">
      <v>12</v>
    </oc>
    <nc r="K31">
      <v>160</v>
    </nc>
  </rcc>
  <rcc rId="16952" sId="4" numFmtId="4">
    <nc r="J32">
      <v>18</v>
    </nc>
  </rcc>
  <rcc rId="16953" sId="4" numFmtId="4">
    <nc r="K32">
      <v>168</v>
    </nc>
  </rcc>
  <rcc rId="16954" sId="4">
    <oc r="J33">
      <v>6</v>
    </oc>
    <nc r="J33">
      <v>35</v>
    </nc>
  </rcc>
  <rcc rId="16955" sId="4">
    <oc r="K33">
      <f>6+6+10+10+4+6+5.5</f>
    </oc>
    <nc r="K33">
      <v>386</v>
    </nc>
  </rcc>
  <rcc rId="16956" sId="4" numFmtId="4">
    <nc r="J34">
      <v>2</v>
    </nc>
  </rcc>
  <rcc rId="16957" sId="4" numFmtId="4">
    <nc r="K34">
      <v>14</v>
    </nc>
  </rcc>
  <rcc rId="16958" sId="4" numFmtId="4">
    <nc r="J35">
      <v>36</v>
    </nc>
  </rcc>
  <rcc rId="16959" sId="4" numFmtId="4">
    <nc r="K35">
      <v>390</v>
    </nc>
  </rcc>
  <rcc rId="16960" sId="4" numFmtId="4">
    <nc r="J36">
      <v>54</v>
    </nc>
  </rcc>
  <rcc rId="16961" sId="4" numFmtId="4">
    <nc r="K36">
      <v>600</v>
    </nc>
  </rcc>
  <rcc rId="16962" sId="4" numFmtId="4">
    <oc r="J37">
      <v>1</v>
    </oc>
    <nc r="J37">
      <v>62</v>
    </nc>
  </rcc>
  <rcc rId="16963" sId="4" numFmtId="4">
    <oc r="K37">
      <f>10</f>
    </oc>
    <nc r="K37">
      <v>720</v>
    </nc>
  </rcc>
  <rcc rId="16964" sId="4" numFmtId="4">
    <oc r="J38">
      <v>2</v>
    </oc>
    <nc r="J38">
      <v>12</v>
    </nc>
  </rcc>
  <rcc rId="16965" sId="4" numFmtId="4">
    <oc r="K38">
      <f>7+6</f>
    </oc>
    <nc r="K38">
      <v>120</v>
    </nc>
  </rcc>
  <rcc rId="16966" sId="4" numFmtId="4">
    <oc r="J39">
      <v>2</v>
    </oc>
    <nc r="J39">
      <v>15</v>
    </nc>
  </rcc>
  <rcc rId="16967" sId="4" numFmtId="4">
    <oc r="K39">
      <f>10+10</f>
    </oc>
    <nc r="K39">
      <v>160</v>
    </nc>
  </rcc>
  <rcc rId="16968" sId="4" numFmtId="4">
    <oc r="J40">
      <v>1</v>
    </oc>
    <nc r="J40">
      <v>14</v>
    </nc>
  </rcc>
  <rcc rId="16969" sId="4" numFmtId="4">
    <oc r="K40">
      <f>10</f>
    </oc>
    <nc r="K40">
      <v>100</v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'сентябрь 2014г'!$C$21:$C$246</formula>
    <oldFormula>'сентябрь 2014г'!$C$21:$C$246</oldFormula>
  </rdn>
  <rdn rId="0" localSheetId="3" customView="1" name="Z_A743F9C7_8B89_4E8F_B91F_1FFB859064F2_.wvu.Rows" hidden="1" oldHidden="1">
    <formula>'сентябрь 2014г. по 6-10'!$2:$12</formula>
    <oldFormula>'сентябрь 2014г. по 6-10'!$2:$12</oldFormula>
  </rdn>
  <rdn rId="0" localSheetId="3" customView="1" name="Z_A743F9C7_8B89_4E8F_B91F_1FFB859064F2_.wvu.FilterData" hidden="1" oldHidden="1">
    <formula>'сентябрь 2014г. по 6-10'!$C$21:$C$130</formula>
    <oldFormula>'сентябрь 2014г. по 6-10'!$C$21:$C$130</oldFormula>
  </rdn>
  <rdn rId="0" localSheetId="4" customView="1" name="Z_A743F9C7_8B89_4E8F_B91F_1FFB859064F2_.wvu.Rows" hidden="1" oldHidden="1">
    <formula>'сентябрь 2014г. по 0,4'!$2:$12</formula>
    <oldFormula>'сентябрь 2014г. по 0,4'!$2:$12</oldFormula>
  </rdn>
  <rdn rId="0" localSheetId="4" customView="1" name="Z_A743F9C7_8B89_4E8F_B91F_1FFB859064F2_.wvu.FilterData" hidden="1" oldHidden="1">
    <formula>'сентябрь 2014г. по 0,4'!$C$18:$C$127</formula>
    <oldFormula>'сентябрь 2014г. по 0,4'!$C$18:$C$127</oldFormula>
  </rdn>
  <rcv guid="{A743F9C7-8B89-4E8F-B91F-1FFB859064F2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c rId="16642" sId="3" numFmtId="4">
    <oc r="E218">
      <v>4.4000000000000004</v>
    </oc>
    <nc r="E218">
      <v>140</v>
    </nc>
  </rcc>
  <rcc rId="16643" sId="3" numFmtId="4">
    <oc r="E219">
      <v>44</v>
    </oc>
    <nc r="E219">
      <v>260</v>
    </nc>
  </rcc>
  <rcc rId="16644" sId="3" numFmtId="4">
    <oc r="E223">
      <v>15</v>
    </oc>
    <nc r="E223">
      <v>100</v>
    </nc>
  </rcc>
  <rcc rId="16645" sId="3" numFmtId="4">
    <oc r="E204">
      <v>96</v>
    </oc>
    <nc r="E204">
      <v>296</v>
    </nc>
  </rcc>
  <rcc rId="16646" sId="3" numFmtId="4">
    <oc r="F204">
      <v>1</v>
    </oc>
    <nc r="F204"/>
  </rcc>
  <rcc rId="16647" sId="3" numFmtId="4">
    <oc r="G204">
      <v>96</v>
    </oc>
    <nc r="G204"/>
  </rcc>
  <rcc rId="16648" sId="3" numFmtId="4">
    <oc r="G188">
      <v>90</v>
    </oc>
    <nc r="G188">
      <v>10</v>
    </nc>
  </rcc>
  <rcc rId="16649" sId="3" numFmtId="4">
    <oc r="E136">
      <f>10+26</f>
    </oc>
    <nc r="E136">
      <v>336</v>
    </nc>
  </rcc>
  <rcc rId="16650" sId="3" numFmtId="4">
    <oc r="E106">
      <f>15+8+15+15+10</f>
    </oc>
    <nc r="E106">
      <v>540</v>
    </nc>
  </rcc>
  <rcc rId="16651" sId="3">
    <oc r="E108">
      <f>10+10+15+55+6+60+85+65+70</f>
    </oc>
    <nc r="E108">
      <f>10+10+15+55+6+60+85+65+70+300</f>
    </nc>
  </rcc>
  <rcc rId="16652" sId="3">
    <oc r="E110">
      <f>15+25+15</f>
    </oc>
    <nc r="E110">
      <f>15+25+15+200</f>
    </nc>
  </rcc>
  <rcc rId="16653" sId="3" numFmtId="4">
    <oc r="G63">
      <v>785</v>
    </oc>
    <nc r="G63">
      <v>385</v>
    </nc>
  </rcc>
  <rcc rId="16654" sId="3" numFmtId="4">
    <oc r="F63">
      <v>5</v>
    </oc>
    <nc r="F63">
      <v>3</v>
    </nc>
  </rcc>
  <rcc rId="16655" sId="3" numFmtId="4">
    <oc r="E24">
      <v>10</v>
    </oc>
    <nc r="E24">
      <v>100</v>
    </nc>
  </rcc>
  <rcc rId="16656" sId="3" numFmtId="4">
    <oc r="E28">
      <f>70+400</f>
    </oc>
    <nc r="E28">
      <v>970</v>
    </nc>
  </rcc>
  <rcc rId="16657" sId="3" numFmtId="4">
    <oc r="F28">
      <v>2</v>
    </oc>
    <nc r="F28">
      <v>1</v>
    </nc>
  </rcc>
  <rcc rId="16658" sId="3" numFmtId="4">
    <oc r="F30">
      <v>10</v>
    </oc>
    <nc r="F30">
      <v>8</v>
    </nc>
  </rcc>
  <rcc rId="16659" sId="3" numFmtId="4">
    <oc r="G40">
      <v>60</v>
    </oc>
    <nc r="G40">
      <v>120</v>
    </nc>
  </rcc>
  <rcc rId="16660" sId="3" numFmtId="4">
    <oc r="F41">
      <v>7</v>
    </oc>
    <nc r="F41">
      <v>5</v>
    </nc>
  </rcc>
  <rcc rId="16661" sId="3" numFmtId="4">
    <oc r="G43">
      <v>123</v>
    </oc>
    <nc r="G43">
      <v>220</v>
    </nc>
  </rcc>
  <rcc rId="16662" sId="3" numFmtId="4">
    <oc r="F26">
      <v>8</v>
    </oc>
    <nc r="F26">
      <v>6</v>
    </nc>
  </rcc>
  <rcc rId="16663" sId="3" numFmtId="4">
    <oc r="G24">
      <v>10</v>
    </oc>
    <nc r="G24">
      <v>100</v>
    </nc>
  </rcc>
  <rcc rId="16664" sId="3" numFmtId="4">
    <oc r="F48">
      <v>8</v>
    </oc>
    <nc r="F48">
      <v>4</v>
    </nc>
  </rcc>
  <rcc rId="16665" sId="3" numFmtId="4">
    <oc r="G45">
      <v>95</v>
    </oc>
    <nc r="G45">
      <v>272</v>
    </nc>
  </rcc>
  <rcc rId="16666" sId="3">
    <oc r="E161">
      <v>75</v>
    </oc>
    <nc r="E161">
      <v>175</v>
    </nc>
  </rcc>
  <rcc rId="16667" sId="3" numFmtId="4">
    <oc r="F147">
      <v>2</v>
    </oc>
    <nc r="F147">
      <v>1</v>
    </nc>
  </rcc>
  <rcc rId="16668" sId="3" numFmtId="4">
    <oc r="E147">
      <f>10+10</f>
    </oc>
    <nc r="E147">
      <v>120</v>
    </nc>
  </rcc>
  <rcc rId="16669" sId="3" numFmtId="4">
    <oc r="E85">
      <v>35</v>
    </oc>
    <nc r="E85">
      <v>145</v>
    </nc>
  </rcc>
  <rcc rId="16670" sId="3" numFmtId="4">
    <oc r="E86">
      <f>15+10</f>
    </oc>
    <nc r="E86">
      <v>148</v>
    </nc>
  </rcc>
  <rcc rId="16671" sId="3" numFmtId="4">
    <oc r="E88">
      <v>15</v>
    </oc>
    <nc r="E88">
      <v>65</v>
    </nc>
  </rcc>
  <rcc rId="16672" sId="3" numFmtId="4">
    <oc r="E91">
      <v>15</v>
    </oc>
    <nc r="E91">
      <v>85</v>
    </nc>
  </rcc>
  <rcc rId="16673" sId="3" numFmtId="4">
    <oc r="E78">
      <v>55</v>
    </oc>
    <nc r="E78">
      <v>320</v>
    </nc>
  </rcc>
  <rcc rId="16674" sId="3" numFmtId="4">
    <oc r="F58">
      <v>5</v>
    </oc>
    <nc r="F58">
      <v>4</v>
    </nc>
  </rcc>
  <rcc rId="16675" sId="3" numFmtId="4">
    <oc r="E45">
      <f>50+45</f>
    </oc>
    <nc r="E45">
      <v>470</v>
    </nc>
  </rcc>
  <rcc rId="16676" sId="3" numFmtId="4">
    <oc r="E133">
      <v>4.4000000000000004</v>
    </oc>
    <nc r="E133">
      <v>32</v>
    </nc>
  </rcc>
  <rcc rId="16677" sId="3" numFmtId="4">
    <oc r="F118">
      <v>2</v>
    </oc>
    <nc r="F118">
      <v>3</v>
    </nc>
  </rcc>
  <rcc rId="16678" sId="3" numFmtId="4">
    <oc r="E115">
      <v>4.4000000000000004</v>
    </oc>
    <nc r="E115">
      <v>100</v>
    </nc>
  </rcc>
  <rcc rId="16679" sId="3" numFmtId="4">
    <oc r="E81">
      <v>145</v>
    </oc>
    <nc r="E81">
      <v>654</v>
    </nc>
  </rcc>
  <rcc rId="16680" sId="3" numFmtId="4">
    <oc r="E79">
      <v>10</v>
    </oc>
    <nc r="E79">
      <v>90</v>
    </nc>
  </rcc>
  <rcc rId="16681" sId="3">
    <oc r="E67">
      <f>41+15+15+155+50+15+60+50+250+100</f>
    </oc>
    <nc r="E67">
      <f>41+15+15+155+50+15+60+50+250+100+300+250</f>
    </nc>
  </rcc>
  <rcc rId="16682" sId="3">
    <oc r="E26">
      <f>80+100+200+1100</f>
    </oc>
    <nc r="E26">
      <f>80+100+200+1100+120</f>
    </nc>
  </rcc>
  <rcc rId="16683" sId="3" numFmtId="4">
    <oc r="E30">
      <f>30+4.4+15+10+30+15+10+5+150+10</f>
    </oc>
    <nc r="E30">
      <v>2300</v>
    </nc>
  </rcc>
  <rcc rId="16684" sId="3" numFmtId="4">
    <oc r="E37">
      <f>60+15+15</f>
    </oc>
    <nc r="E37">
      <v>940</v>
    </nc>
  </rcc>
  <rcc rId="16685" sId="3" numFmtId="4">
    <oc r="E41">
      <f>10+15+15+20+70+90+30</f>
    </oc>
    <nc r="E41">
      <v>1760</v>
    </nc>
  </rcc>
  <rcc rId="16686" sId="3" numFmtId="4">
    <oc r="E48">
      <f>100+170+100+60+160+63+80+30+50+90+15</f>
    </oc>
    <nc r="E48">
      <v>1918</v>
    </nc>
  </rcc>
  <rcc rId="16687" sId="3">
    <oc r="E51">
      <f>200+40+155+100+80+30+70</f>
    </oc>
    <nc r="E51">
      <f>200+40+155+100+80+30+70+300</f>
    </nc>
  </rcc>
  <rcc rId="16688" sId="3" numFmtId="4">
    <oc r="E208">
      <v>789</v>
    </oc>
    <nc r="E208">
      <v>3789</v>
    </nc>
  </rcc>
  <rcc rId="16689" sId="3" numFmtId="4">
    <oc r="E199">
      <v>40</v>
    </oc>
    <nc r="E199">
      <v>400</v>
    </nc>
  </rcc>
  <rcc rId="16690" sId="3" numFmtId="4">
    <oc r="E201">
      <f>10+15+10</f>
    </oc>
    <nc r="E201">
      <v>535</v>
    </nc>
  </rcc>
  <rcc rId="16691" sId="3" numFmtId="4">
    <oc r="E156">
      <v>630</v>
    </oc>
    <nc r="E156">
      <v>1830</v>
    </nc>
  </rcc>
  <rcc rId="16692" sId="3" numFmtId="4">
    <oc r="E105">
      <v>554</v>
    </oc>
    <nc r="E105">
      <v>1954</v>
    </nc>
  </rcc>
  <rcc rId="16693" sId="3">
    <oc r="E104">
      <f>350+130+70+160+200+65+8+10+160+15+200+20+15+80+3+500</f>
    </oc>
    <nc r="E104">
      <f>350+130+70+160+200+65+8+10+160+15+200+20+15+80+3+500+400+700</f>
    </nc>
  </rcc>
  <rcc rId="16694" sId="3" numFmtId="4">
    <oc r="E77">
      <f>15+5+10+10+100</f>
    </oc>
    <nc r="E77">
      <v>740</v>
    </nc>
  </rcc>
  <rcc rId="16695" sId="3" numFmtId="4">
    <oc r="E70">
      <v>256</v>
    </oc>
    <nc r="E70">
      <v>645</v>
    </nc>
  </rcc>
  <rcc rId="16696" sId="3">
    <oc r="E36">
      <f>50+150+18+160+90+200+75+15+150+50+86+20+6+400+15+15+40+55</f>
    </oc>
    <nc r="E36">
      <f>50+150+18+160+90+200+75+15+150+50+86+20+6+400+15+15+40+55+300</f>
    </nc>
  </rcc>
  <rcc rId="16697" sId="3">
    <oc r="E109">
      <f>30+60+20+10+20+15+15+86+6</f>
    </oc>
    <nc r="E109">
      <f>30+60+20+10+20+15+15+86+6+300+268</f>
    </nc>
  </rcc>
  <rcc rId="16698" sId="3">
    <oc r="E35">
      <f>15+100+25+20+20+25+160+45+15+90+30+120+160+10</f>
    </oc>
    <nc r="E35">
      <f>15+100+25+20+20+25+160+45+15+90+30+120+160+10+200</f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'сентябрь 2014г'!$C$21:$C$246</formula>
    <oldFormula>'сентябрь 2014г'!$C$21:$C$246</oldFormula>
  </rdn>
  <rdn rId="0" localSheetId="3" customView="1" name="Z_A743F9C7_8B89_4E8F_B91F_1FFB859064F2_.wvu.Rows" hidden="1" oldHidden="1">
    <formula>'сентябрь 2014г. по 6-10'!$2:$12</formula>
    <oldFormula>'сентябрь 2014г. по 6-10'!$2:$12</oldFormula>
  </rdn>
  <rdn rId="0" localSheetId="3" customView="1" name="Z_A743F9C7_8B89_4E8F_B91F_1FFB859064F2_.wvu.FilterData" hidden="1" oldHidden="1">
    <formula>'сентябрь 2014г. по 6-10'!$C$21:$C$130</formula>
    <oldFormula>'сентябрь 2014г. по 6-10'!$C$21:$C$130</oldFormula>
  </rdn>
  <rdn rId="0" localSheetId="4" customView="1" name="Z_A743F9C7_8B89_4E8F_B91F_1FFB859064F2_.wvu.Rows" hidden="1" oldHidden="1">
    <formula>'сентябрь 2014г. по 0,4'!$2:$12</formula>
    <oldFormula>'сентябрь 2014г. по 0,4'!$2:$12</oldFormula>
  </rdn>
  <rdn rId="0" localSheetId="4" customView="1" name="Z_A743F9C7_8B89_4E8F_B91F_1FFB859064F2_.wvu.FilterData" hidden="1" oldHidden="1">
    <formula>'сентябрь 2014г. по 0,4'!$C$18:$C$127</formula>
    <oldFormula>'сентябрь 2014г. по 0,4'!$C$18:$C$127</oldFormula>
  </rdn>
  <rcv guid="{A743F9C7-8B89-4E8F-B91F-1FFB859064F2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c rId="16292" sId="1">
    <nc r="D251">
      <v>1271</v>
    </nc>
  </rcc>
  <rcc rId="16293" sId="1">
    <nc r="E251">
      <v>39426.6</v>
    </nc>
  </rcc>
  <rcc rId="16294" sId="1">
    <nc r="F251">
      <v>1264</v>
    </nc>
  </rcc>
  <rcc rId="16295" sId="1">
    <nc r="G251">
      <v>39190.6</v>
    </nc>
  </rcc>
  <rcc rId="16296" sId="1" odxf="1" dxf="1">
    <nc r="D252">
      <f>D246-D251</f>
    </nc>
    <odxf>
      <numFmt numFmtId="0" formatCode="General"/>
    </odxf>
    <ndxf>
      <numFmt numFmtId="3" formatCode="#,##0"/>
    </ndxf>
  </rcc>
  <rcc rId="16297" sId="1" odxf="1" dxf="1">
    <nc r="E252">
      <f>E246-E251</f>
    </nc>
    <odxf>
      <numFmt numFmtId="0" formatCode="General"/>
    </odxf>
    <ndxf>
      <numFmt numFmtId="3" formatCode="#,##0"/>
    </ndxf>
  </rcc>
  <rcc rId="16298" sId="1" odxf="1" dxf="1">
    <nc r="F252">
      <f>F246-F251</f>
    </nc>
    <odxf>
      <numFmt numFmtId="0" formatCode="General"/>
    </odxf>
    <ndxf>
      <numFmt numFmtId="3" formatCode="#,##0"/>
    </ndxf>
  </rcc>
  <rcc rId="16299" sId="1" odxf="1" dxf="1">
    <nc r="G252">
      <f>G246-G251</f>
    </nc>
    <odxf>
      <numFmt numFmtId="0" formatCode="General"/>
    </odxf>
    <ndxf>
      <numFmt numFmtId="3" formatCode="#,##0"/>
    </ndxf>
  </rcc>
  <rcc rId="16300" sId="1">
    <oc r="B254" t="inlineStr">
      <is>
        <t>дошел№ 1127 не занес</t>
      </is>
    </oc>
    <nc r="B254"/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'сентябрь 2014г'!$C$21:$C$246</formula>
    <oldFormula>'сентябрь 2014г'!$C$21:$C$246</oldFormula>
  </rdn>
  <rdn rId="0" localSheetId="3" customView="1" name="Z_A743F9C7_8B89_4E8F_B91F_1FFB859064F2_.wvu.Rows" hidden="1" oldHidden="1">
    <formula>'сентябрь 2014г. по 6-10'!$2:$12</formula>
    <oldFormula>'сентябрь 2014г. по 6-10'!$2:$12</oldFormula>
  </rdn>
  <rdn rId="0" localSheetId="3" customView="1" name="Z_A743F9C7_8B89_4E8F_B91F_1FFB859064F2_.wvu.FilterData" hidden="1" oldHidden="1">
    <formula>'сентябрь 2014г. по 6-10'!$C$21:$C$130</formula>
    <oldFormula>'сентябрь 2014г. по 6-10'!$C$21:$C$130</oldFormula>
  </rdn>
  <rdn rId="0" localSheetId="4" customView="1" name="Z_A743F9C7_8B89_4E8F_B91F_1FFB859064F2_.wvu.Rows" hidden="1" oldHidden="1">
    <formula>'сентябрь 2014г. по 0,4'!$2:$12</formula>
    <oldFormula>'сентябрь 2014г. по 0,4'!$2:$12</oldFormula>
  </rdn>
  <rdn rId="0" localSheetId="4" customView="1" name="Z_A743F9C7_8B89_4E8F_B91F_1FFB859064F2_.wvu.FilterData" hidden="1" oldHidden="1">
    <formula>'сентябрь 2014г. по 0,4'!$C$18:$C$127</formula>
    <oldFormula>'сентябрь 2014г. по 0,4'!$C$18:$C$127</oldFormula>
  </rdn>
  <rcv guid="{A743F9C7-8B89-4E8F-B91F-1FFB859064F2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'август 2014г'!$C$21:$C$246</formula>
    <oldFormula>'август 2014г'!$C$21:$C$246</oldFormula>
  </rdn>
  <rdn rId="0" localSheetId="3" customView="1" name="Z_A743F9C7_8B89_4E8F_B91F_1FFB859064F2_.wvu.Rows" hidden="1" oldHidden="1">
    <formula>'август 2014г. по 6-10'!$2:$12</formula>
    <oldFormula>'август 2014г. по 6-10'!$2:$12</oldFormula>
  </rdn>
  <rdn rId="0" localSheetId="3" customView="1" name="Z_A743F9C7_8B89_4E8F_B91F_1FFB859064F2_.wvu.FilterData" hidden="1" oldHidden="1">
    <formula>'август 2014г. по 6-10'!$C$21:$C$130</formula>
    <oldFormula>'август 2014г. по 6-10'!$C$21:$C$130</oldFormula>
  </rdn>
  <rdn rId="0" localSheetId="4" customView="1" name="Z_A743F9C7_8B89_4E8F_B91F_1FFB859064F2_.wvu.Rows" hidden="1" oldHidden="1">
    <formula>'август 2014г. по 0,4'!$2:$12</formula>
    <oldFormula>'август 2014г. по 0,4'!$2:$12</oldFormula>
  </rdn>
  <rdn rId="0" localSheetId="4" customView="1" name="Z_A743F9C7_8B89_4E8F_B91F_1FFB859064F2_.wvu.FilterData" hidden="1" oldHidden="1">
    <formula>'август 2014г. по 0,4'!$C$18:$C$127</formula>
    <oldFormula>'август 2014г. по 0,4'!$C$18:$C$127</oldFormula>
  </rdn>
  <rcv guid="{A743F9C7-8B89-4E8F-B91F-1FFB859064F2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'сентябрь 2014г'!$C$21:$C$246</formula>
    <oldFormula>'сентябрь 2014г'!$C$21:$C$246</oldFormula>
  </rdn>
  <rdn rId="0" localSheetId="3" customView="1" name="Z_A743F9C7_8B89_4E8F_B91F_1FFB859064F2_.wvu.Rows" hidden="1" oldHidden="1">
    <formula>'сентябрь 2014г. по 6-10'!$2:$12</formula>
    <oldFormula>'сентябрь 2014г. по 6-10'!$2:$12</oldFormula>
  </rdn>
  <rdn rId="0" localSheetId="3" customView="1" name="Z_A743F9C7_8B89_4E8F_B91F_1FFB859064F2_.wvu.FilterData" hidden="1" oldHidden="1">
    <formula>'сентябрь 2014г. по 6-10'!$C$21:$C$130</formula>
    <oldFormula>'сентябрь 2014г. по 6-10'!$C$21:$C$130</oldFormula>
  </rdn>
  <rdn rId="0" localSheetId="4" customView="1" name="Z_A743F9C7_8B89_4E8F_B91F_1FFB859064F2_.wvu.Rows" hidden="1" oldHidden="1">
    <formula>'сентябрь 2014г. по 0,4'!$2:$12</formula>
    <oldFormula>'сентябрь 2014г. по 0,4'!$2:$12</oldFormula>
  </rdn>
  <rdn rId="0" localSheetId="4" customView="1" name="Z_A743F9C7_8B89_4E8F_B91F_1FFB859064F2_.wvu.FilterData" hidden="1" oldHidden="1">
    <formula>'сентябрь 2014г. по 0,4'!$C$18:$C$127</formula>
    <oldFormula>'сентябрь 2014г. по 0,4'!$C$18:$C$127</oldFormula>
  </rdn>
  <rcv guid="{A743F9C7-8B89-4E8F-B91F-1FFB859064F2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'сентябрь 2014г'!$C$21:$C$246</formula>
    <oldFormula>'сентябрь 2014г'!$C$21:$C$246</oldFormula>
  </rdn>
  <rdn rId="0" localSheetId="3" customView="1" name="Z_A743F9C7_8B89_4E8F_B91F_1FFB859064F2_.wvu.Rows" hidden="1" oldHidden="1">
    <formula>'сентябрь 2014г. по 6-10'!$2:$12</formula>
    <oldFormula>'сентябрь 2014г. по 6-10'!$2:$12</oldFormula>
  </rdn>
  <rdn rId="0" localSheetId="3" customView="1" name="Z_A743F9C7_8B89_4E8F_B91F_1FFB859064F2_.wvu.FilterData" hidden="1" oldHidden="1">
    <formula>'сентябрь 2014г. по 6-10'!$C$21:$C$130</formula>
    <oldFormula>'сентябрь 2014г. по 6-10'!$C$21:$C$130</oldFormula>
  </rdn>
  <rdn rId="0" localSheetId="4" customView="1" name="Z_A743F9C7_8B89_4E8F_B91F_1FFB859064F2_.wvu.Rows" hidden="1" oldHidden="1">
    <formula>'сентябрь 2014г. по 0,4'!$2:$12</formula>
    <oldFormula>'сентябрь 2014г. по 0,4'!$2:$12</oldFormula>
  </rdn>
  <rdn rId="0" localSheetId="4" customView="1" name="Z_A743F9C7_8B89_4E8F_B91F_1FFB859064F2_.wvu.FilterData" hidden="1" oldHidden="1">
    <formula>'сентябрь 2014г. по 0,4'!$C$18:$C$127</formula>
    <oldFormula>'сентябрь 2014г. по 0,4'!$C$18:$C$127</oldFormula>
  </rdn>
  <rcv guid="{A743F9C7-8B89-4E8F-B91F-1FFB859064F2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c rId="16423" sId="3" numFmtId="4">
    <oc r="H156">
      <v>20</v>
    </oc>
    <nc r="H156">
      <v>0</v>
    </nc>
  </rcc>
  <rcc rId="16424" sId="1">
    <oc r="D251">
      <v>1271</v>
    </oc>
    <nc r="D251"/>
  </rcc>
  <rcc rId="16425" sId="1">
    <oc r="E251">
      <v>39426.6</v>
    </oc>
    <nc r="E251"/>
  </rcc>
  <rcc rId="16426" sId="1">
    <oc r="F251">
      <v>1264</v>
    </oc>
    <nc r="F251"/>
  </rcc>
  <rcc rId="16427" sId="1">
    <oc r="G251">
      <v>39190.6</v>
    </oc>
    <nc r="G251"/>
  </rcc>
  <rcc rId="16428" sId="1">
    <oc r="D252">
      <f>D251-D246</f>
    </oc>
    <nc r="D252"/>
  </rcc>
  <rcc rId="16429" sId="1">
    <oc r="E252">
      <f>E251-E246</f>
    </oc>
    <nc r="E252"/>
  </rcc>
  <rcc rId="16430" sId="1">
    <oc r="F252">
      <f>F251-F246</f>
    </oc>
    <nc r="F252"/>
  </rcc>
  <rcc rId="16431" sId="1">
    <oc r="G252">
      <f>G251-G246</f>
    </oc>
    <nc r="G252"/>
  </rcc>
  <rcc rId="16432" sId="1">
    <oc r="D253">
      <v>190</v>
    </oc>
    <nc r="D253"/>
  </rcc>
  <rcc rId="16433" sId="1">
    <oc r="E253">
      <v>2400</v>
    </oc>
    <nc r="E253"/>
  </rcc>
  <rcc rId="16434" sId="3">
    <oc r="D252">
      <v>38</v>
    </oc>
    <nc r="D252"/>
  </rcc>
  <rcc rId="16435" sId="3">
    <oc r="E252">
      <v>1904</v>
    </oc>
    <nc r="E252"/>
  </rcc>
  <rcc rId="16436" sId="3">
    <oc r="D253">
      <v>503</v>
    </oc>
    <nc r="D253"/>
  </rcc>
  <rcc rId="16437" sId="3">
    <oc r="E253">
      <v>33668.800000000003</v>
    </oc>
    <nc r="E253"/>
  </rcc>
  <rcc rId="16438" sId="3">
    <oc r="D254">
      <f>D246+D252-D253</f>
    </oc>
    <nc r="D254"/>
  </rcc>
  <rcc rId="16439" sId="3">
    <oc r="E254">
      <f>E246+E252-E253</f>
    </oc>
    <nc r="E254"/>
  </rcc>
  <rcc rId="16440" sId="3">
    <oc r="D255">
      <f>D254-D252</f>
    </oc>
    <nc r="D255"/>
  </rcc>
  <rcc rId="16441" sId="3">
    <oc r="E255">
      <f>E254-E252</f>
    </oc>
    <nc r="E255"/>
  </rcc>
  <rcc rId="16442" sId="3">
    <oc r="C251" t="inlineStr">
      <is>
        <t>раисаткины</t>
      </is>
    </oc>
    <nc r="C251"/>
  </rcc>
  <rcc rId="16443" sId="3">
    <oc r="C252" t="inlineStr">
      <is>
        <t>мои</t>
      </is>
    </oc>
    <nc r="C252"/>
  </rcc>
  <rcc rId="16444" sId="3">
    <nc r="G251">
      <v>21655.5</v>
    </nc>
  </rcc>
  <rfmt sheetId="3" sqref="G251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16445" sId="3">
    <oc r="I250" t="inlineStr">
      <is>
        <t>Расторгнутые договора</t>
      </is>
    </oc>
    <nc r="I250"/>
  </rcc>
  <rcc rId="16446" sId="3">
    <nc r="J251">
      <v>178</v>
    </nc>
  </rcc>
  <rfmt sheetId="3" sqref="J251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16447" sId="3">
    <nc r="K251">
      <v>8664.2000000000007</v>
    </nc>
  </rcc>
  <rfmt sheetId="3" sqref="D251:K251" start="0" length="2147483647">
    <dxf>
      <font>
        <b/>
      </font>
    </dxf>
  </rfmt>
  <rfmt sheetId="3" sqref="D252:I258">
    <dxf>
      <fill>
        <patternFill>
          <bgColor theme="0"/>
        </patternFill>
      </fill>
    </dxf>
  </rfmt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'сентябрь 2014г'!$C$21:$C$246</formula>
    <oldFormula>'сентябрь 2014г'!$C$21:$C$246</oldFormula>
  </rdn>
  <rdn rId="0" localSheetId="3" customView="1" name="Z_A743F9C7_8B89_4E8F_B91F_1FFB859064F2_.wvu.Rows" hidden="1" oldHidden="1">
    <formula>'сентябрь 2014г. по 6-10'!$2:$12</formula>
    <oldFormula>'сентябрь 2014г. по 6-10'!$2:$12</oldFormula>
  </rdn>
  <rdn rId="0" localSheetId="3" customView="1" name="Z_A743F9C7_8B89_4E8F_B91F_1FFB859064F2_.wvu.FilterData" hidden="1" oldHidden="1">
    <formula>'сентябрь 2014г. по 6-10'!$C$21:$C$130</formula>
    <oldFormula>'сентябрь 2014г. по 6-10'!$C$21:$C$130</oldFormula>
  </rdn>
  <rdn rId="0" localSheetId="4" customView="1" name="Z_A743F9C7_8B89_4E8F_B91F_1FFB859064F2_.wvu.Rows" hidden="1" oldHidden="1">
    <formula>'сентябрь 2014г. по 0,4'!$2:$12</formula>
    <oldFormula>'сентябрь 2014г. по 0,4'!$2:$12</oldFormula>
  </rdn>
  <rdn rId="0" localSheetId="4" customView="1" name="Z_A743F9C7_8B89_4E8F_B91F_1FFB859064F2_.wvu.FilterData" hidden="1" oldHidden="1">
    <formula>'сентябрь 2014г. по 0,4'!$C$18:$C$127</formula>
    <oldFormula>'сентябрь 2014г. по 0,4'!$C$18:$C$127</oldFormula>
  </rdn>
  <rcv guid="{A743F9C7-8B89-4E8F-B91F-1FFB859064F2}" action="add"/>
</revisions>
</file>

<file path=xl/revisions/revisionLog112111.xml><?xml version="1.0" encoding="utf-8"?>
<revisions xmlns="http://schemas.openxmlformats.org/spreadsheetml/2006/main" xmlns:r="http://schemas.openxmlformats.org/officeDocument/2006/relationships">
  <rcc rId="16412" sId="4" numFmtId="4">
    <oc r="D189">
      <v>5</v>
    </oc>
    <nc r="D189"/>
  </rcc>
  <rcc rId="16413" sId="4" numFmtId="4">
    <oc r="E189">
      <v>45</v>
    </oc>
    <nc r="E189"/>
  </rcc>
  <rcc rId="16414" sId="4" numFmtId="4">
    <oc r="F189">
      <v>5</v>
    </oc>
    <nc r="F189"/>
  </rcc>
  <rcc rId="16415" sId="4" numFmtId="4">
    <oc r="G189">
      <v>45</v>
    </oc>
    <nc r="G189"/>
  </rcc>
  <rcc rId="16416" sId="4">
    <nc r="D251">
      <v>5</v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'сентябрь 2014г'!$C$21:$C$246</formula>
    <oldFormula>'сентябрь 2014г'!$C$21:$C$246</oldFormula>
  </rdn>
  <rdn rId="0" localSheetId="3" customView="1" name="Z_A743F9C7_8B89_4E8F_B91F_1FFB859064F2_.wvu.Rows" hidden="1" oldHidden="1">
    <formula>'сентябрь 2014г. по 6-10'!$2:$12</formula>
    <oldFormula>'сентябрь 2014г. по 6-10'!$2:$12</oldFormula>
  </rdn>
  <rdn rId="0" localSheetId="3" customView="1" name="Z_A743F9C7_8B89_4E8F_B91F_1FFB859064F2_.wvu.FilterData" hidden="1" oldHidden="1">
    <formula>'сентябрь 2014г. по 6-10'!$C$21:$C$130</formula>
    <oldFormula>'сентябрь 2014г. по 6-10'!$C$21:$C$130</oldFormula>
  </rdn>
  <rdn rId="0" localSheetId="4" customView="1" name="Z_A743F9C7_8B89_4E8F_B91F_1FFB859064F2_.wvu.Rows" hidden="1" oldHidden="1">
    <formula>'сентябрь 2014г. по 0,4'!$2:$12</formula>
    <oldFormula>'сентябрь 2014г. по 0,4'!$2:$12</oldFormula>
  </rdn>
  <rdn rId="0" localSheetId="4" customView="1" name="Z_A743F9C7_8B89_4E8F_B91F_1FFB859064F2_.wvu.FilterData" hidden="1" oldHidden="1">
    <formula>'сентябрь 2014г. по 0,4'!$C$18:$C$127</formula>
    <oldFormula>'сентябрь 2014г. по 0,4'!$C$18:$C$127</oldFormula>
  </rdn>
  <rcv guid="{A743F9C7-8B89-4E8F-B91F-1FFB859064F2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c rId="17146" sId="1">
    <nc r="D251">
      <v>2211</v>
    </nc>
  </rcc>
  <rcc rId="17147" sId="1">
    <nc r="E251">
      <v>73836</v>
    </nc>
  </rcc>
  <rcc rId="17148" sId="1">
    <nc r="G251">
      <v>30071</v>
    </nc>
  </rcc>
  <rfmt sheetId="1" sqref="G251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17149" sId="1">
    <nc r="F251">
      <v>1380</v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'октябрь 2014г'!$C$21:$C$246</formula>
    <oldFormula>'октябрь 2014г'!$C$21:$C$246</oldFormula>
  </rdn>
  <rdn rId="0" localSheetId="3" customView="1" name="Z_A743F9C7_8B89_4E8F_B91F_1FFB859064F2_.wvu.Rows" hidden="1" oldHidden="1">
    <formula>'октябрь 2014г. по 6-10'!$2:$12</formula>
    <oldFormula>'октябрь 2014г. по 6-10'!$2:$12</oldFormula>
  </rdn>
  <rdn rId="0" localSheetId="3" customView="1" name="Z_A743F9C7_8B89_4E8F_B91F_1FFB859064F2_.wvu.FilterData" hidden="1" oldHidden="1">
    <formula>'октябрь 2014г. по 6-10'!$C$21:$C$130</formula>
    <oldFormula>'октябрь 2014г. по 6-10'!$C$21:$C$130</oldFormula>
  </rdn>
  <rdn rId="0" localSheetId="4" customView="1" name="Z_A743F9C7_8B89_4E8F_B91F_1FFB859064F2_.wvu.Rows" hidden="1" oldHidden="1">
    <formula>'октябрь 2014г. по 0,4'!$2:$12</formula>
    <oldFormula>'октябрь 2014г. по 0,4'!$2:$12</oldFormula>
  </rdn>
  <rdn rId="0" localSheetId="4" customView="1" name="Z_A743F9C7_8B89_4E8F_B91F_1FFB859064F2_.wvu.FilterData" hidden="1" oldHidden="1">
    <formula>'октябрь 2014г. по 0,4'!$C$18:$C$127</formula>
    <oldFormula>'октябрь 2014г. по 0,4'!$C$18:$C$127</oldFormula>
  </rdn>
  <rcv guid="{A743F9C7-8B89-4E8F-B91F-1FFB859064F2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'октябрь 2014г'!$C$21:$C$246</formula>
    <oldFormula>'октябрь 2014г'!$C$21:$C$246</oldFormula>
  </rdn>
  <rdn rId="0" localSheetId="3" customView="1" name="Z_A743F9C7_8B89_4E8F_B91F_1FFB859064F2_.wvu.Rows" hidden="1" oldHidden="1">
    <formula>'октябрь 2014г. по 6-10'!$2:$12</formula>
    <oldFormula>'октябрь 2014г. по 6-10'!$2:$12</oldFormula>
  </rdn>
  <rdn rId="0" localSheetId="3" customView="1" name="Z_A743F9C7_8B89_4E8F_B91F_1FFB859064F2_.wvu.FilterData" hidden="1" oldHidden="1">
    <formula>'октябрь 2014г. по 6-10'!$C$21:$C$130</formula>
    <oldFormula>'октябрь 2014г. по 6-10'!$C$21:$C$130</oldFormula>
  </rdn>
  <rdn rId="0" localSheetId="4" customView="1" name="Z_A743F9C7_8B89_4E8F_B91F_1FFB859064F2_.wvu.Rows" hidden="1" oldHidden="1">
    <formula>'октябрь 2014г. по 0,4'!$2:$12</formula>
    <oldFormula>'октябрь 2014г. по 0,4'!$2:$12</oldFormula>
  </rdn>
  <rdn rId="0" localSheetId="4" customView="1" name="Z_A743F9C7_8B89_4E8F_B91F_1FFB859064F2_.wvu.FilterData" hidden="1" oldHidden="1">
    <formula>'октябрь 2014г. по 0,4'!$C$18:$C$127</formula>
    <oldFormula>'октябрь 2014г. по 0,4'!$C$18:$C$127</oldFormula>
  </rdn>
  <rcv guid="{A743F9C7-8B89-4E8F-B91F-1FFB859064F2}" action="add"/>
</revisions>
</file>

<file path=xl/revisions/revisionLog11311.xml><?xml version="1.0" encoding="utf-8"?>
<revisions xmlns="http://schemas.openxmlformats.org/spreadsheetml/2006/main" xmlns:r="http://schemas.openxmlformats.org/officeDocument/2006/relationships">
  <rcc rId="16802" sId="4" numFmtId="4">
    <oc r="D237">
      <v>12</v>
    </oc>
    <nc r="D237">
      <v>30</v>
    </nc>
  </rcc>
  <rcc rId="16803" sId="4" numFmtId="4">
    <oc r="F237">
      <v>12</v>
    </oc>
    <nc r="F237">
      <v>15</v>
    </nc>
  </rcc>
  <rcc rId="16804" sId="4" numFmtId="4">
    <oc r="E237">
      <f>15+15+15+15+10+3+8+8+8+8+80+15</f>
    </oc>
    <nc r="E237">
      <v>450</v>
    </nc>
  </rcc>
  <rcc rId="16805" sId="4" numFmtId="4">
    <oc r="F229">
      <v>1</v>
    </oc>
    <nc r="F229">
      <v>5</v>
    </nc>
  </rcc>
  <rcc rId="16806" sId="4" numFmtId="4">
    <oc r="D229">
      <v>1</v>
    </oc>
    <nc r="D229">
      <v>10</v>
    </nc>
  </rcc>
  <rcc rId="16807" sId="4" numFmtId="4">
    <oc r="D221">
      <v>10</v>
    </oc>
    <nc r="D221">
      <v>15</v>
    </nc>
  </rcc>
  <rcc rId="16808" sId="4" numFmtId="4">
    <oc r="E221">
      <f>10+8+2+10+8+8+6+8+15+15</f>
    </oc>
    <nc r="E221">
      <v>290</v>
    </nc>
  </rcc>
  <rcc rId="16809" sId="4" numFmtId="4">
    <oc r="D201">
      <v>1</v>
    </oc>
    <nc r="D201">
      <v>25</v>
    </nc>
  </rcc>
  <rcc rId="16810" sId="4" numFmtId="4">
    <oc r="E201">
      <v>14.5</v>
    </oc>
    <nc r="E201">
      <v>130</v>
    </nc>
  </rcc>
  <rcc rId="16811" sId="4" numFmtId="4">
    <oc r="D203">
      <v>1</v>
    </oc>
    <nc r="D203">
      <v>30</v>
    </nc>
  </rcc>
  <rcc rId="16812" sId="4" numFmtId="4">
    <oc r="E203">
      <v>29</v>
    </oc>
    <nc r="E203">
      <v>120</v>
    </nc>
  </rcc>
  <rcc rId="16813" sId="4" numFmtId="4">
    <oc r="D205">
      <v>18</v>
    </oc>
    <nc r="D205">
      <v>38</v>
    </nc>
  </rcc>
  <rcc rId="16814" sId="4" numFmtId="4">
    <oc r="E205">
      <f>5+7.4+10+25+5+10+15+3+10+5+7.5+15+5+15+5+10+15+5</f>
    </oc>
    <nc r="E205">
      <v>340</v>
    </nc>
  </rcc>
  <rcc rId="16815" sId="4" numFmtId="4">
    <oc r="G205">
      <v>172.9</v>
    </oc>
    <nc r="G205">
      <v>69</v>
    </nc>
  </rcc>
  <rcc rId="16816" sId="4" numFmtId="4">
    <oc r="G229">
      <v>120</v>
    </oc>
    <nc r="G229">
      <v>75</v>
    </nc>
  </rcc>
  <rcc rId="16817" sId="4" numFmtId="4">
    <oc r="D185">
      <v>10</v>
    </oc>
    <nc r="D185">
      <v>48</v>
    </nc>
  </rcc>
  <rcc rId="16818" sId="4" numFmtId="4">
    <oc r="D184">
      <v>12</v>
    </oc>
    <nc r="D184">
      <v>70</v>
    </nc>
  </rcc>
  <rcc rId="16819" sId="4" numFmtId="4">
    <oc r="D175">
      <v>10</v>
    </oc>
    <nc r="D175">
      <v>15</v>
    </nc>
  </rcc>
  <rcc rId="16820" sId="4" numFmtId="4">
    <oc r="G175">
      <v>125</v>
    </oc>
    <nc r="G175">
      <v>78</v>
    </nc>
  </rcc>
  <rcc rId="16821" sId="4" numFmtId="4">
    <oc r="D152">
      <v>16</v>
    </oc>
    <nc r="D152">
      <v>74</v>
    </nc>
  </rcc>
  <rcc rId="16822" sId="4" numFmtId="4">
    <oc r="D153">
      <v>5</v>
    </oc>
    <nc r="D153">
      <v>45</v>
    </nc>
  </rcc>
  <rcc rId="16823" sId="4" numFmtId="4">
    <oc r="E153">
      <f>10+15+10+3+5</f>
    </oc>
    <nc r="E153">
      <v>120</v>
    </nc>
  </rcc>
  <rcc rId="16824" sId="4" numFmtId="4">
    <oc r="E229">
      <v>120</v>
    </oc>
    <nc r="E229">
      <v>201</v>
    </nc>
  </rcc>
  <rcc rId="16825" sId="4" numFmtId="4">
    <oc r="D114">
      <v>11</v>
    </oc>
    <nc r="D114">
      <v>21</v>
    </nc>
  </rcc>
  <rcc rId="16826" sId="4" numFmtId="4">
    <oc r="D101">
      <v>25</v>
    </oc>
    <nc r="D101">
      <v>45</v>
    </nc>
  </rcc>
  <rcc rId="16827" sId="4" numFmtId="4">
    <oc r="D102">
      <v>16</v>
    </oc>
    <nc r="D102">
      <v>36</v>
    </nc>
  </rcc>
  <rcc rId="16828" sId="4" numFmtId="4">
    <oc r="D37">
      <v>18</v>
    </oc>
    <nc r="D37">
      <v>68</v>
    </nc>
  </rcc>
  <rcc rId="16829" sId="4" numFmtId="4">
    <oc r="D36">
      <v>70</v>
    </oc>
    <nc r="D36">
      <v>90</v>
    </nc>
  </rcc>
  <rcc rId="16830" sId="4" numFmtId="4">
    <oc r="D231">
      <v>3</v>
    </oc>
    <nc r="D231">
      <v>4</v>
    </nc>
  </rcc>
  <rcc rId="16831" sId="4" numFmtId="4">
    <oc r="F231">
      <v>3</v>
    </oc>
    <nc r="F231">
      <v>4</v>
    </nc>
  </rcc>
  <rcc rId="16832" sId="4" numFmtId="4">
    <oc r="F114">
      <v>11</v>
    </oc>
    <nc r="F114">
      <v>21</v>
    </nc>
  </rcc>
  <rcc rId="16833" sId="4" numFmtId="4">
    <oc r="G22">
      <v>250</v>
    </oc>
    <nc r="G22">
      <v>0</v>
    </nc>
  </rcc>
  <rcc rId="16834" sId="4" numFmtId="4">
    <oc r="F22">
      <v>1</v>
    </oc>
    <nc r="F22">
      <v>0</v>
    </nc>
  </rcc>
  <rcc rId="16835" sId="4" numFmtId="4">
    <oc r="F23">
      <v>1</v>
    </oc>
    <nc r="F23">
      <v>0</v>
    </nc>
  </rcc>
  <rcc rId="16836" sId="4" numFmtId="4">
    <oc r="G23">
      <v>100</v>
    </oc>
    <nc r="G23">
      <v>0</v>
    </nc>
  </rcc>
  <rcc rId="16837" sId="4" numFmtId="4">
    <oc r="D39">
      <v>10</v>
    </oc>
    <nc r="D39">
      <v>20</v>
    </nc>
  </rcc>
  <rcc rId="16838" sId="4" numFmtId="4">
    <oc r="D38">
      <v>19</v>
    </oc>
    <nc r="D38">
      <v>29</v>
    </nc>
  </rcc>
  <rcc rId="16839" sId="4" numFmtId="4">
    <oc r="G39">
      <v>113</v>
    </oc>
    <nc r="G39">
      <v>55</v>
    </nc>
  </rcc>
  <rcc rId="16840" sId="4" numFmtId="4">
    <oc r="D40">
      <v>6</v>
    </oc>
    <nc r="D40">
      <v>16</v>
    </nc>
  </rcc>
  <rcc rId="16841" sId="4" numFmtId="4">
    <oc r="G40">
      <v>166</v>
    </oc>
    <nc r="G40">
      <v>66</v>
    </nc>
  </rcc>
  <rcc rId="16842" sId="4" numFmtId="4">
    <oc r="G185">
      <v>80</v>
    </oc>
    <nc r="G185">
      <v>54</v>
    </nc>
  </rcc>
  <rcc rId="16843" sId="4" numFmtId="4">
    <oc r="G187">
      <v>70</v>
    </oc>
    <nc r="G187">
      <v>45</v>
    </nc>
  </rcc>
  <rcc rId="16844" sId="4" numFmtId="4">
    <oc r="G188">
      <v>75</v>
    </oc>
    <nc r="G188">
      <v>65</v>
    </nc>
  </rcc>
  <rcc rId="16845" sId="4" numFmtId="4">
    <oc r="G152">
      <v>120</v>
    </oc>
    <nc r="G152">
      <v>74</v>
    </nc>
  </rcc>
  <rcc rId="16846" sId="4" numFmtId="4">
    <oc r="G101">
      <v>341</v>
    </oc>
    <nc r="G101">
      <v>145</v>
    </nc>
  </rcc>
  <rcc rId="16847" sId="4" numFmtId="4">
    <oc r="G102">
      <v>209</v>
    </oc>
    <nc r="G102">
      <v>120</v>
    </nc>
  </rcc>
  <rcc rId="16848" sId="4" numFmtId="4">
    <oc r="G94">
      <v>62</v>
    </oc>
    <nc r="G94">
      <v>48</v>
    </nc>
  </rcc>
  <rcc rId="16849" sId="4" numFmtId="4">
    <oc r="F37">
      <v>18</v>
    </oc>
    <nc r="F37">
      <v>27</v>
    </nc>
  </rcc>
  <rcc rId="16850" sId="4" numFmtId="4">
    <oc r="G37">
      <v>150.5</v>
    </oc>
    <nc r="G37">
      <v>97</v>
    </nc>
  </rcc>
  <rcc rId="16851" sId="4" numFmtId="4">
    <oc r="G38">
      <v>226.2</v>
    </oc>
    <nc r="G38">
      <v>59</v>
    </nc>
  </rcc>
  <rcc rId="16852" sId="4" numFmtId="4">
    <oc r="G45">
      <v>204</v>
    </oc>
    <nc r="G45">
      <v>160</v>
    </nc>
  </rcc>
  <rcc rId="16853" sId="4" numFmtId="4">
    <oc r="G53">
      <f>10</f>
    </oc>
    <nc r="G53">
      <v>5</v>
    </nc>
  </rcc>
  <rcc rId="16854" sId="4" numFmtId="4">
    <oc r="G54">
      <v>14</v>
    </oc>
    <nc r="G54">
      <v>4</v>
    </nc>
  </rcc>
  <rcc rId="16855" sId="4" numFmtId="4">
    <oc r="G55">
      <v>79</v>
    </oc>
    <nc r="G55">
      <v>63</v>
    </nc>
  </rcc>
  <rcc rId="16856" sId="4">
    <oc r="G65">
      <f>5+350+5+30+5+4.5</f>
    </oc>
    <nc r="G65">
      <f>5+50+5+30+5+4.5</f>
    </nc>
  </rcc>
  <rcc rId="16857" sId="4" numFmtId="4">
    <oc r="G80">
      <f>100+5+5+10</f>
    </oc>
    <nc r="G80">
      <v>80</v>
    </nc>
  </rcc>
  <rcc rId="16858" sId="4" numFmtId="4">
    <oc r="G63">
      <v>690</v>
    </oc>
    <nc r="G63">
      <v>540</v>
    </nc>
  </rcc>
  <rcc rId="16859" sId="4" numFmtId="4">
    <oc r="G218">
      <f>45+50</f>
    </oc>
    <nc r="G218">
      <v>30</v>
    </nc>
  </rcc>
  <rcc rId="16860" sId="4" numFmtId="4">
    <oc r="G221">
      <v>90</v>
    </oc>
    <nc r="G221">
      <v>70</v>
    </nc>
  </rcc>
  <rcc rId="16861" sId="4" numFmtId="4">
    <oc r="G222">
      <f>14+10+10+10+10+6</f>
    </oc>
    <nc r="G222">
      <v>45</v>
    </nc>
  </rcc>
  <rcc rId="16862" sId="4" numFmtId="4">
    <oc r="G223">
      <v>26</v>
    </oc>
    <nc r="G223">
      <v>16</v>
    </nc>
  </rcc>
  <rcc rId="16863" sId="4" numFmtId="4">
    <oc r="G237">
      <v>200</v>
    </oc>
    <nc r="G237">
      <v>65</v>
    </nc>
  </rcc>
  <rcc rId="16864" sId="4" numFmtId="4">
    <oc r="G240">
      <v>101</v>
    </oc>
    <nc r="G240">
      <v>79</v>
    </nc>
  </rcc>
  <rcc rId="16865" sId="4" numFmtId="4">
    <oc r="G201">
      <v>14.5</v>
    </oc>
    <nc r="G201">
      <v>5</v>
    </nc>
  </rcc>
  <rcc rId="16866" sId="4" numFmtId="4">
    <oc r="G184">
      <v>180</v>
    </oc>
    <nc r="G184">
      <v>60</v>
    </nc>
  </rcc>
  <rcc rId="16867" sId="4" numFmtId="4">
    <oc r="G186">
      <v>75</v>
    </oc>
    <nc r="G186">
      <v>48</v>
    </nc>
  </rcc>
  <rcc rId="16868" sId="4" numFmtId="4">
    <oc r="G190">
      <v>65</v>
    </oc>
    <nc r="G190">
      <v>55</v>
    </nc>
  </rcc>
  <rcc rId="16869" sId="4" numFmtId="4">
    <oc r="G36">
      <v>623.9</v>
    </oc>
    <nc r="G36">
      <v>300</v>
    </nc>
  </rcc>
  <rcc rId="16870" sId="4" numFmtId="4">
    <oc r="G67">
      <v>111</v>
    </oc>
    <nc r="G67">
      <v>97</v>
    </nc>
  </rcc>
  <rcc rId="16871" sId="4">
    <oc r="D249">
      <v>1413</v>
    </oc>
    <nc r="D249"/>
  </rcc>
  <rcc rId="16872" sId="4">
    <oc r="E249">
      <v>11409</v>
    </oc>
    <nc r="E249"/>
  </rcc>
  <rcc rId="16873" sId="4">
    <oc r="F249">
      <v>973</v>
    </oc>
    <nc r="F249"/>
  </rcc>
  <rcc rId="16874" sId="4">
    <oc r="G249">
      <v>7680</v>
    </oc>
    <nc r="G249"/>
  </rcc>
  <rcc rId="16875" sId="4">
    <oc r="D250">
      <f>D243-D249</f>
    </oc>
    <nc r="D250"/>
  </rcc>
  <rcc rId="16876" sId="4">
    <oc r="E250">
      <f>E243-E249</f>
    </oc>
    <nc r="E250"/>
  </rcc>
  <rcc rId="16877" sId="4">
    <oc r="F250">
      <f>F243-F249</f>
    </oc>
    <nc r="F250"/>
  </rcc>
  <rcc rId="16878" sId="4">
    <oc r="G250">
      <f>G243-G249</f>
    </oc>
    <nc r="G250"/>
  </rcc>
  <rcc rId="16879" sId="4">
    <oc r="H250">
      <f>H243-H249</f>
    </oc>
    <nc r="H250"/>
  </rcc>
  <rcc rId="16880" sId="4">
    <oc r="I250">
      <f>I243-I249</f>
    </oc>
    <nc r="I250"/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'сентябрь 2014г'!$C$21:$C$246</formula>
    <oldFormula>'сентябрь 2014г'!$C$21:$C$246</oldFormula>
  </rdn>
  <rdn rId="0" localSheetId="3" customView="1" name="Z_A743F9C7_8B89_4E8F_B91F_1FFB859064F2_.wvu.Rows" hidden="1" oldHidden="1">
    <formula>'сентябрь 2014г. по 6-10'!$2:$12</formula>
    <oldFormula>'сентябрь 2014г. по 6-10'!$2:$12</oldFormula>
  </rdn>
  <rdn rId="0" localSheetId="3" customView="1" name="Z_A743F9C7_8B89_4E8F_B91F_1FFB859064F2_.wvu.FilterData" hidden="1" oldHidden="1">
    <formula>'сентябрь 2014г. по 6-10'!$C$21:$C$130</formula>
    <oldFormula>'сентябрь 2014г. по 6-10'!$C$21:$C$130</oldFormula>
  </rdn>
  <rdn rId="0" localSheetId="4" customView="1" name="Z_A743F9C7_8B89_4E8F_B91F_1FFB859064F2_.wvu.Rows" hidden="1" oldHidden="1">
    <formula>'сентябрь 2014г. по 0,4'!$2:$12</formula>
    <oldFormula>'сентябрь 2014г. по 0,4'!$2:$12</oldFormula>
  </rdn>
  <rdn rId="0" localSheetId="4" customView="1" name="Z_A743F9C7_8B89_4E8F_B91F_1FFB859064F2_.wvu.FilterData" hidden="1" oldHidden="1">
    <formula>'сентябрь 2014г. по 0,4'!$C$18:$C$127</formula>
    <oldFormula>'сентябрь 2014г. по 0,4'!$C$18:$C$127</oldFormula>
  </rdn>
  <rcv guid="{A743F9C7-8B89-4E8F-B91F-1FFB859064F2}" action="add"/>
</revisions>
</file>

<file path=xl/revisions/revisionLog113111.xml><?xml version="1.0" encoding="utf-8"?>
<revisions xmlns="http://schemas.openxmlformats.org/spreadsheetml/2006/main" xmlns:r="http://schemas.openxmlformats.org/officeDocument/2006/relationships">
  <rcc rId="16590" sId="3" numFmtId="4">
    <oc r="F136">
      <v>2</v>
    </oc>
    <nc r="F136"/>
  </rcc>
  <rcc rId="16591" sId="3" numFmtId="4">
    <oc r="G136">
      <v>36</v>
    </oc>
    <nc r="G136"/>
  </rcc>
  <rcc rId="16592" sId="3" numFmtId="4">
    <oc r="E129">
      <v>65</v>
    </oc>
    <nc r="E129">
      <v>165</v>
    </nc>
  </rcc>
  <rcc rId="16593" sId="3" numFmtId="4">
    <oc r="E130">
      <v>25</v>
    </oc>
    <nc r="E130">
      <v>123</v>
    </nc>
  </rcc>
  <rcc rId="16594" sId="3" numFmtId="4">
    <oc r="E125">
      <v>10</v>
    </oc>
    <nc r="E125">
      <v>98</v>
    </nc>
  </rcc>
  <rcc rId="16595" sId="3" numFmtId="4">
    <oc r="F125">
      <v>1</v>
    </oc>
    <nc r="F125"/>
  </rcc>
  <rcc rId="16596" sId="3" numFmtId="4">
    <oc r="G125">
      <v>10</v>
    </oc>
    <nc r="G125"/>
  </rcc>
  <rcc rId="16597" sId="3" numFmtId="4">
    <oc r="F118">
      <v>7</v>
    </oc>
    <nc r="F118">
      <v>2</v>
    </nc>
  </rcc>
  <rcc rId="16598" sId="3" numFmtId="4">
    <oc r="G118">
      <v>1295</v>
    </oc>
    <nc r="G118">
      <v>120</v>
    </nc>
  </rcc>
  <rcc rId="16599" sId="3" numFmtId="4">
    <oc r="G117">
      <v>2143</v>
    </oc>
    <nc r="G117">
      <v>1210</v>
    </nc>
  </rcc>
  <rcc rId="16600" sId="3" numFmtId="4">
    <oc r="F117">
      <v>18</v>
    </oc>
    <nc r="F117">
      <v>9</v>
    </nc>
  </rcc>
  <rcc rId="16601" sId="3" numFmtId="4">
    <oc r="F114">
      <v>10</v>
    </oc>
    <nc r="F114">
      <v>4</v>
    </nc>
  </rcc>
  <rcc rId="16602" sId="3" numFmtId="4">
    <oc r="G114">
      <v>976</v>
    </oc>
    <nc r="G114">
      <v>430</v>
    </nc>
  </rcc>
  <rcc rId="16603" sId="3" numFmtId="4">
    <oc r="F111">
      <v>6</v>
    </oc>
    <nc r="F111">
      <v>2</v>
    </nc>
  </rcc>
  <rcc rId="16604" sId="3" numFmtId="4">
    <oc r="G111">
      <v>148</v>
    </oc>
    <nc r="G111">
      <v>60</v>
    </nc>
  </rcc>
  <rcc rId="16605" sId="3" numFmtId="4">
    <oc r="E111">
      <f>40+7+50+35+10+6</f>
    </oc>
    <nc r="E111">
      <v>460</v>
    </nc>
  </rcc>
  <rcc rId="16606" sId="3" numFmtId="4">
    <oc r="F109">
      <v>6</v>
    </oc>
    <nc r="F109">
      <v>5</v>
    </nc>
  </rcc>
  <rcc rId="16607" sId="3" numFmtId="4">
    <oc r="G109">
      <v>163</v>
    </oc>
    <nc r="G109">
      <v>105</v>
    </nc>
  </rcc>
  <rcc rId="16608" sId="3" numFmtId="4">
    <oc r="F156">
      <v>4</v>
    </oc>
    <nc r="F156">
      <v>1</v>
    </nc>
  </rcc>
  <rcc rId="16609" sId="3" numFmtId="4">
    <oc r="G156">
      <v>220</v>
    </oc>
    <nc r="G156">
      <v>20</v>
    </nc>
  </rcc>
  <rcc rId="16610" sId="3" numFmtId="4">
    <oc r="E156">
      <f>20+180+10+10</f>
    </oc>
    <nc r="E156">
      <v>630</v>
    </nc>
  </rcc>
  <rcc rId="16611" sId="3" numFmtId="4">
    <oc r="E160">
      <v>20</v>
    </oc>
    <nc r="E160">
      <v>90</v>
    </nc>
  </rcc>
  <rcc rId="16612" sId="3">
    <oc r="E161">
      <v>10</v>
    </oc>
    <nc r="E161">
      <v>75</v>
    </nc>
  </rcc>
  <rcc rId="16613" sId="3" numFmtId="4">
    <oc r="E162">
      <v>10</v>
    </oc>
    <nc r="E162">
      <v>63</v>
    </nc>
  </rcc>
  <rcc rId="16614" sId="3" numFmtId="4">
    <oc r="E164">
      <v>10</v>
    </oc>
    <nc r="E164">
      <v>75</v>
    </nc>
  </rcc>
  <rcc rId="16615" sId="3" numFmtId="4">
    <oc r="E169">
      <f>60+15+6</f>
    </oc>
    <nc r="E169">
      <v>190</v>
    </nc>
  </rcc>
  <rcc rId="16616" sId="3" numFmtId="4">
    <oc r="E170">
      <f>20+60</f>
    </oc>
    <nc r="E170">
      <v>180</v>
    </nc>
  </rcc>
  <rcc rId="16617" sId="3">
    <oc r="E173">
      <f>15+20</f>
    </oc>
    <nc r="E173">
      <v>135</v>
    </nc>
  </rcc>
  <rcc rId="16618" sId="3" numFmtId="4">
    <oc r="E171">
      <f>10+10</f>
    </oc>
    <nc r="E171">
      <v>240</v>
    </nc>
  </rcc>
  <rcc rId="16619" sId="3" numFmtId="4">
    <oc r="E93">
      <f>10+15</f>
    </oc>
    <nc r="E93">
      <v>125</v>
    </nc>
  </rcc>
  <rcc rId="16620" sId="3" numFmtId="4">
    <oc r="E92">
      <v>15</v>
    </oc>
    <nc r="E92">
      <v>114</v>
    </nc>
  </rcc>
  <rcc rId="16621" sId="3" numFmtId="4">
    <oc r="F93">
      <v>2</v>
    </oc>
    <nc r="F93">
      <v>1</v>
    </nc>
  </rcc>
  <rcc rId="16622" sId="3" numFmtId="4">
    <oc r="F90">
      <v>2</v>
    </oc>
    <nc r="F90">
      <v>1</v>
    </nc>
  </rcc>
  <rcc rId="16623" sId="3" numFmtId="4">
    <oc r="E90">
      <f>10+10</f>
    </oc>
    <nc r="E90">
      <v>305</v>
    </nc>
  </rcc>
  <rcc rId="16624" sId="3" numFmtId="4">
    <oc r="E87">
      <f>15+10+10</f>
    </oc>
    <nc r="E87">
      <v>340</v>
    </nc>
  </rcc>
  <rcc rId="16625" sId="3" numFmtId="4">
    <oc r="F86">
      <v>2</v>
    </oc>
    <nc r="F86"/>
  </rcc>
  <rcc rId="16626" sId="3" numFmtId="4">
    <oc r="G86">
      <v>25</v>
    </oc>
    <nc r="G86"/>
  </rcc>
  <rcc rId="16627" sId="3" numFmtId="4">
    <oc r="F81">
      <v>4</v>
    </oc>
    <nc r="F81"/>
  </rcc>
  <rcc rId="16628" sId="3" numFmtId="4">
    <oc r="G81">
      <v>43</v>
    </oc>
    <nc r="G81"/>
  </rcc>
  <rcc rId="16629" sId="3" numFmtId="4">
    <oc r="E81">
      <f>8+10+15+10</f>
    </oc>
    <nc r="E81">
      <v>145</v>
    </nc>
  </rcc>
  <rcc rId="16630" sId="3" numFmtId="4">
    <oc r="E82">
      <v>5</v>
    </oc>
    <nc r="E82">
      <v>25</v>
    </nc>
  </rcc>
  <rcc rId="16631" sId="3" numFmtId="4">
    <oc r="E83">
      <v>3</v>
    </oc>
    <nc r="E83">
      <v>45</v>
    </nc>
  </rcc>
  <rcc rId="16632" sId="3" numFmtId="4">
    <oc r="E85">
      <v>15</v>
    </oc>
    <nc r="E85">
      <v>35</v>
    </nc>
  </rcc>
  <rcc rId="16633" sId="3" numFmtId="4">
    <oc r="E69">
      <f>15+10</f>
    </oc>
    <nc r="E69">
      <v>125</v>
    </nc>
  </rcc>
  <rcc rId="16634" sId="3" numFmtId="4">
    <oc r="G68">
      <f>65+155</f>
    </oc>
    <nc r="G68">
      <v>20</v>
    </nc>
  </rcc>
  <rcc rId="16635" sId="3" numFmtId="4">
    <oc r="F70">
      <v>4</v>
    </oc>
    <nc r="F70">
      <v>1</v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'сентябрь 2014г'!$C$21:$C$246</formula>
    <oldFormula>'сентябрь 2014г'!$C$21:$C$246</oldFormula>
  </rdn>
  <rdn rId="0" localSheetId="3" customView="1" name="Z_A743F9C7_8B89_4E8F_B91F_1FFB859064F2_.wvu.Rows" hidden="1" oldHidden="1">
    <formula>'сентябрь 2014г. по 6-10'!$2:$12</formula>
    <oldFormula>'сентябрь 2014г. по 6-10'!$2:$12</oldFormula>
  </rdn>
  <rdn rId="0" localSheetId="3" customView="1" name="Z_A743F9C7_8B89_4E8F_B91F_1FFB859064F2_.wvu.FilterData" hidden="1" oldHidden="1">
    <formula>'сентябрь 2014г. по 6-10'!$C$21:$C$130</formula>
    <oldFormula>'сентябрь 2014г. по 6-10'!$C$21:$C$130</oldFormula>
  </rdn>
  <rdn rId="0" localSheetId="4" customView="1" name="Z_A743F9C7_8B89_4E8F_B91F_1FFB859064F2_.wvu.Rows" hidden="1" oldHidden="1">
    <formula>'сентябрь 2014г. по 0,4'!$2:$12</formula>
    <oldFormula>'сентябрь 2014г. по 0,4'!$2:$12</oldFormula>
  </rdn>
  <rdn rId="0" localSheetId="4" customView="1" name="Z_A743F9C7_8B89_4E8F_B91F_1FFB859064F2_.wvu.FilterData" hidden="1" oldHidden="1">
    <formula>'сентябрь 2014г. по 0,4'!$C$18:$C$127</formula>
    <oldFormula>'сентябрь 2014г. по 0,4'!$C$18:$C$127</oldFormula>
  </rdn>
  <rcv guid="{A743F9C7-8B89-4E8F-B91F-1FFB859064F2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c rId="17308" sId="4" numFmtId="4">
    <oc r="E237">
      <v>375</v>
    </oc>
    <nc r="E237">
      <v>376</v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'октябрь 2014г'!$C$21:$C$246</formula>
    <oldFormula>'октябрь 2014г'!$C$21:$C$246</oldFormula>
  </rdn>
  <rdn rId="0" localSheetId="3" customView="1" name="Z_A743F9C7_8B89_4E8F_B91F_1FFB859064F2_.wvu.Rows" hidden="1" oldHidden="1">
    <formula>'октябрь 2014г. по 6-10'!$2:$12</formula>
    <oldFormula>'октябрь 2014г. по 6-10'!$2:$12</oldFormula>
  </rdn>
  <rdn rId="0" localSheetId="3" customView="1" name="Z_A743F9C7_8B89_4E8F_B91F_1FFB859064F2_.wvu.FilterData" hidden="1" oldHidden="1">
    <formula>'октябрь 2014г. по 6-10'!$C$21:$C$130</formula>
    <oldFormula>'октябрь 2014г. по 6-10'!$C$21:$C$130</oldFormula>
  </rdn>
  <rdn rId="0" localSheetId="4" customView="1" name="Z_A743F9C7_8B89_4E8F_B91F_1FFB859064F2_.wvu.Rows" hidden="1" oldHidden="1">
    <formula>'октябрь 2014г. по 0,4'!$2:$12</formula>
    <oldFormula>'октябрь 2014г. по 0,4'!$2:$12</oldFormula>
  </rdn>
  <rdn rId="0" localSheetId="4" customView="1" name="Z_A743F9C7_8B89_4E8F_B91F_1FFB859064F2_.wvu.FilterData" hidden="1" oldHidden="1">
    <formula>'октябрь 2014г. по 0,4'!$C$18:$C$127</formula>
    <oldFormula>'октябрь 2014г. по 0,4'!$C$18:$C$127</oldFormula>
  </rdn>
  <rcv guid="{A743F9C7-8B89-4E8F-B91F-1FFB859064F2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c rId="17254" sId="4" numFmtId="4">
    <oc r="D108">
      <v>28</v>
    </oc>
    <nc r="D108">
      <v>35</v>
    </nc>
  </rcc>
  <rcc rId="17255" sId="4" numFmtId="4">
    <oc r="D103">
      <v>6</v>
    </oc>
    <nc r="D103">
      <v>16</v>
    </nc>
  </rcc>
  <rcc rId="17256" sId="4" numFmtId="4">
    <oc r="E103">
      <f>5+12+5+10+10+6</f>
    </oc>
    <nc r="E103">
      <v>100</v>
    </nc>
  </rcc>
  <rcc rId="17257" sId="4" numFmtId="4">
    <oc r="D102">
      <v>36</v>
    </oc>
    <nc r="D102">
      <v>41</v>
    </nc>
  </rcc>
  <rcc rId="17258" sId="4" numFmtId="4">
    <oc r="E102">
      <f>12+12+5+8+50+14+30+12+8+12+5+3+13+10+5+10</f>
    </oc>
    <nc r="E102">
      <v>290</v>
    </nc>
  </rcc>
  <rcc rId="17259" sId="4" numFmtId="4">
    <oc r="D194">
      <v>3</v>
    </oc>
    <nc r="D194">
      <v>6</v>
    </nc>
  </rcc>
  <rcc rId="17260" sId="4" numFmtId="4">
    <oc r="D196">
      <v>1</v>
    </oc>
    <nc r="D196">
      <v>5</v>
    </nc>
  </rcc>
  <rcc rId="17261" sId="4" numFmtId="4">
    <oc r="E196">
      <v>30</v>
    </oc>
    <nc r="E196">
      <v>45</v>
    </nc>
  </rcc>
  <rcc rId="17262" sId="4" numFmtId="4">
    <oc r="D197">
      <v>5</v>
    </oc>
    <nc r="D197">
      <v>9</v>
    </nc>
  </rcc>
  <rcc rId="17263" sId="4" numFmtId="4">
    <oc r="E197">
      <v>20</v>
    </oc>
    <nc r="E197">
      <v>35</v>
    </nc>
  </rcc>
  <rcc rId="17264" sId="4" numFmtId="4">
    <oc r="D229">
      <v>10</v>
    </oc>
    <nc r="D229">
      <v>15</v>
    </nc>
  </rcc>
  <rcc rId="17265" sId="4" numFmtId="4">
    <nc r="D212">
      <v>2</v>
    </nc>
  </rcc>
  <rcc rId="17266" sId="4" numFmtId="4">
    <nc r="E212">
      <v>6</v>
    </nc>
  </rcc>
  <rcc rId="17267" sId="4" numFmtId="4">
    <nc r="D217">
      <v>7</v>
    </nc>
  </rcc>
  <rcc rId="17268" sId="4" numFmtId="4">
    <nc r="E217">
      <v>25</v>
    </nc>
  </rcc>
  <rcc rId="17269" sId="4" numFmtId="4">
    <oc r="D237">
      <v>30</v>
    </oc>
    <nc r="D237">
      <v>47</v>
    </nc>
  </rcc>
  <rcc rId="17270" sId="4" numFmtId="4">
    <nc r="D233">
      <v>7</v>
    </nc>
  </rcc>
  <rcc rId="17271" sId="4" numFmtId="4">
    <nc r="E233">
      <v>45</v>
    </nc>
  </rcc>
  <rcc rId="17272" sId="4" numFmtId="4">
    <nc r="D234">
      <v>5</v>
    </nc>
  </rcc>
  <rcc rId="17273" sId="4" numFmtId="4">
    <nc r="E234">
      <v>25</v>
    </nc>
  </rcc>
  <rcc rId="17274" sId="4" numFmtId="4">
    <nc r="D220">
      <v>3</v>
    </nc>
  </rcc>
  <rcc rId="17275" sId="4" numFmtId="4">
    <nc r="E220">
      <v>21</v>
    </nc>
  </rcc>
  <rcc rId="17276" sId="4" numFmtId="4">
    <oc r="G203">
      <v>29</v>
    </oc>
    <nc r="G203">
      <v>7</v>
    </nc>
  </rcc>
  <rcc rId="17277" sId="4" numFmtId="4">
    <oc r="G205">
      <v>69</v>
    </oc>
    <nc r="G205">
      <v>88</v>
    </nc>
  </rcc>
  <rcc rId="17278" sId="4" numFmtId="4">
    <oc r="G231">
      <v>16</v>
    </oc>
    <nc r="G231">
      <v>19</v>
    </nc>
  </rcc>
  <rcc rId="17279" sId="4" numFmtId="4">
    <oc r="D231">
      <v>4</v>
    </oc>
    <nc r="D231">
      <v>8</v>
    </nc>
  </rcc>
  <rcc rId="17280" sId="4" numFmtId="4">
    <oc r="E231">
      <f>5+5+6</f>
    </oc>
    <nc r="E231">
      <v>34</v>
    </nc>
  </rcc>
  <rcc rId="17281" sId="4" numFmtId="4">
    <nc r="D173">
      <v>5</v>
    </nc>
  </rcc>
  <rcc rId="17282" sId="4" numFmtId="4">
    <nc r="E173">
      <v>20</v>
    </nc>
  </rcc>
  <rcc rId="17283" sId="4" numFmtId="4">
    <oc r="D179">
      <v>3</v>
    </oc>
    <nc r="D179">
      <v>6</v>
    </nc>
  </rcc>
  <rcc rId="17284" sId="4" numFmtId="4">
    <oc r="D181">
      <v>8</v>
    </oc>
    <nc r="D181">
      <v>14</v>
    </nc>
  </rcc>
  <rcc rId="17285" sId="4" numFmtId="4">
    <nc r="D168">
      <v>5</v>
    </nc>
  </rcc>
  <rcc rId="17286" sId="4" numFmtId="4">
    <nc r="E168">
      <v>24</v>
    </nc>
  </rcc>
  <rcc rId="17287" sId="4" numFmtId="4">
    <oc r="D166">
      <v>8</v>
    </oc>
    <nc r="D166">
      <v>13</v>
    </nc>
  </rcc>
  <rcc rId="17288" sId="4" numFmtId="4">
    <oc r="D164">
      <v>1</v>
    </oc>
    <nc r="D164">
      <v>2</v>
    </nc>
  </rcc>
  <rcc rId="17289" sId="4" numFmtId="4">
    <nc r="D159">
      <v>2</v>
    </nc>
  </rcc>
  <rcc rId="17290" sId="4" numFmtId="4">
    <nc r="E159">
      <v>7</v>
    </nc>
  </rcc>
  <rcc rId="17291" sId="4" numFmtId="4">
    <nc r="D161">
      <v>5</v>
    </nc>
  </rcc>
  <rcc rId="17292" sId="4" numFmtId="4">
    <nc r="E161">
      <v>19</v>
    </nc>
  </rcc>
  <rcc rId="17293" sId="4" numFmtId="4">
    <nc r="D154">
      <v>7</v>
    </nc>
  </rcc>
  <rcc rId="17294" sId="4" numFmtId="4">
    <oc r="E237">
      <v>450</v>
    </oc>
    <nc r="E237">
      <v>375</v>
    </nc>
  </rcc>
  <rcc rId="17295" sId="4" numFmtId="4">
    <oc r="D240">
      <v>8</v>
    </oc>
    <nc r="D240">
      <v>15</v>
    </nc>
  </rcc>
  <rcc rId="17296" sId="4" numFmtId="4">
    <oc r="E205">
      <v>340</v>
    </oc>
    <nc r="E205">
      <v>315</v>
    </nc>
  </rcc>
  <rcc rId="17297" sId="4" numFmtId="4">
    <oc r="E190">
      <v>99.5</v>
    </oc>
    <nc r="E190">
      <v>70</v>
    </nc>
  </rcc>
  <rcc rId="17298" sId="4" numFmtId="4">
    <oc r="E184">
      <v>180</v>
    </oc>
    <nc r="E184">
      <v>201</v>
    </nc>
  </rcc>
  <rcc rId="17299" sId="4" numFmtId="4">
    <oc r="D186">
      <v>5</v>
    </oc>
    <nc r="D186">
      <v>13</v>
    </nc>
  </rcc>
  <rcc rId="17300" sId="4" numFmtId="4">
    <nc r="E154">
      <v>20</v>
    </nc>
  </rcc>
  <rcc rId="17301" sId="4" numFmtId="4">
    <oc r="D101">
      <v>45</v>
    </oc>
    <nc r="D101">
      <v>56</v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'октябрь 2014г'!$C$21:$C$246</formula>
    <oldFormula>'октябрь 2014г'!$C$21:$C$246</oldFormula>
  </rdn>
  <rdn rId="0" localSheetId="3" customView="1" name="Z_A743F9C7_8B89_4E8F_B91F_1FFB859064F2_.wvu.Rows" hidden="1" oldHidden="1">
    <formula>'октябрь 2014г. по 6-10'!$2:$12</formula>
    <oldFormula>'октябрь 2014г. по 6-10'!$2:$12</oldFormula>
  </rdn>
  <rdn rId="0" localSheetId="3" customView="1" name="Z_A743F9C7_8B89_4E8F_B91F_1FFB859064F2_.wvu.FilterData" hidden="1" oldHidden="1">
    <formula>'октябрь 2014г. по 6-10'!$C$21:$C$130</formula>
    <oldFormula>'октябрь 2014г. по 6-10'!$C$21:$C$130</oldFormula>
  </rdn>
  <rdn rId="0" localSheetId="4" customView="1" name="Z_A743F9C7_8B89_4E8F_B91F_1FFB859064F2_.wvu.Rows" hidden="1" oldHidden="1">
    <formula>'октябрь 2014г. по 0,4'!$2:$12</formula>
    <oldFormula>'октябрь 2014г. по 0,4'!$2:$12</oldFormula>
  </rdn>
  <rdn rId="0" localSheetId="4" customView="1" name="Z_A743F9C7_8B89_4E8F_B91F_1FFB859064F2_.wvu.FilterData" hidden="1" oldHidden="1">
    <formula>'октябрь 2014г. по 0,4'!$C$18:$C$127</formula>
    <oldFormula>'октябрь 2014г. по 0,4'!$C$18:$C$127</oldFormula>
  </rdn>
  <rcv guid="{A743F9C7-8B89-4E8F-B91F-1FFB859064F2}" action="add"/>
</revisions>
</file>

<file path=xl/revisions/revisionLog11411.xml><?xml version="1.0" encoding="utf-8"?>
<revisions xmlns="http://schemas.openxmlformats.org/spreadsheetml/2006/main" xmlns:r="http://schemas.openxmlformats.org/officeDocument/2006/relationships">
  <rcc rId="17128" sId="4" odxf="1" dxf="1">
    <oc r="B14" t="inlineStr">
      <is>
        <t>Информация о технологическом присоединении энергопринимающих устройств к сетям ОАО Дагэнергосеть илиалом ОАО "МРСК Северного Кавказа" за сентябрь 2014г.</t>
      </is>
    </oc>
    <nc r="B14" t="inlineStr">
      <is>
        <t>Информация о технологическом присоединении энергопринимающих устройств к сетям ОАО Дагэнергосеть илиалом ОАО "МРСК Северного Кавказа" за октябрь 2014г.</t>
      </is>
    </nc>
    <odxf/>
    <ndxf/>
  </rcc>
  <rcc rId="17129" sId="3" odxf="1" dxf="1">
    <oc r="B14" t="inlineStr">
      <is>
        <t>Информация о технологическом присоединении энергопринимающих устройств к сетям ОАО Дагэнергосеть илиалом ОАО "МРСК Северного Кавказа" за сентябрь 2014г.</t>
      </is>
    </oc>
    <nc r="B14" t="inlineStr">
      <is>
        <t>Информация о технологическом присоединении энергопринимающих устройств к сетям ОАО Дагэнергосеть илиалом ОАО "МРСК Северного Кавказа" за октябрь 2014г.</t>
      </is>
    </nc>
    <odxf/>
    <ndxf/>
  </rcc>
  <rcc rId="17130" sId="1">
    <oc r="B14" t="inlineStr">
      <is>
        <t>Информация о технологическом присоединении энергопринимающих устройств к сетям ОАО Дагэнергосеть илиалом ОАО "МРСК Северного Кавказа" за сентябрь 2014г.</t>
      </is>
    </oc>
    <nc r="B14" t="inlineStr">
      <is>
        <t>Информация о технологическом присоединении энергопринимающих устройств к сетям ОАО Дагэнергосеть илиалом ОАО "МРСК Северного Кавказа" за октябрь 2014г.</t>
      </is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'октябрь 2014г'!$C$21:$C$246</formula>
    <oldFormula>'октябрь 2014г'!$C$21:$C$246</oldFormula>
  </rdn>
  <rdn rId="0" localSheetId="3" customView="1" name="Z_A743F9C7_8B89_4E8F_B91F_1FFB859064F2_.wvu.Rows" hidden="1" oldHidden="1">
    <formula>'октябрь 2014г. по 6-10'!$2:$12</formula>
    <oldFormula>'октябрь 2014г. по 6-10'!$2:$12</oldFormula>
  </rdn>
  <rdn rId="0" localSheetId="3" customView="1" name="Z_A743F9C7_8B89_4E8F_B91F_1FFB859064F2_.wvu.FilterData" hidden="1" oldHidden="1">
    <formula>'октябрь 2014г. по 6-10'!$C$21:$C$130</formula>
    <oldFormula>'октябрь 2014г. по 6-10'!$C$21:$C$130</oldFormula>
  </rdn>
  <rdn rId="0" localSheetId="4" customView="1" name="Z_A743F9C7_8B89_4E8F_B91F_1FFB859064F2_.wvu.Rows" hidden="1" oldHidden="1">
    <formula>'октябрь 2014г. по 0,4'!$2:$12</formula>
    <oldFormula>'октябрь 2014г. по 0,4'!$2:$12</oldFormula>
  </rdn>
  <rdn rId="0" localSheetId="4" customView="1" name="Z_A743F9C7_8B89_4E8F_B91F_1FFB859064F2_.wvu.FilterData" hidden="1" oldHidden="1">
    <formula>'октябрь 2014г. по 0,4'!$C$18:$C$127</formula>
    <oldFormula>'октябрь 2014г. по 0,4'!$C$18:$C$127</oldFormula>
  </rdn>
  <rcv guid="{A743F9C7-8B89-4E8F-B91F-1FFB859064F2}" action="add"/>
  <rsnm rId="17137" sheetId="1" oldName="[Сводная по поданным заявкам и заключенным договорам с присоединенной мощностью за октябрь_2014.xlsx]сентябрь 2014г" newName="[Сводная по поданным заявкам и заключенным договорам с присоединенной мощностью за октябрь_2014.xlsx]октябрь 2014г"/>
  <rsnm rId="17138" sheetId="3" oldName="[Сводная по поданным заявкам и заключенным договорам с присоединенной мощностью за октябрь_2014.xlsx]сентябрь 2014г. по 6-10" newName="[Сводная по поданным заявкам и заключенным договорам с присоединенной мощностью за октябрь_2014.xlsx]октябрь 2014г. по 6-10"/>
  <rsnm rId="17139" sheetId="4" oldName="[Сводная по поданным заявкам и заключенным договорам с присоединенной мощностью за октябрь_2014.xlsx]сентябрь 2014г. по 0,4" newName="[Сводная по поданным заявкам и заключенным договорам с присоединенной мощностью за октябрь_2014.xlsx]октябрь 2014г. по 0,4"/>
</revisions>
</file>

<file path=xl/revisions/revisionLog114111.xml><?xml version="1.0" encoding="utf-8"?>
<revisions xmlns="http://schemas.openxmlformats.org/spreadsheetml/2006/main" xmlns:r="http://schemas.openxmlformats.org/officeDocument/2006/relationships">
  <rcc rId="17022" sId="4" numFmtId="4">
    <nc r="K114">
      <v>290</v>
    </nc>
  </rcc>
  <rcc rId="17023" sId="4" numFmtId="4">
    <oc r="K201">
      <v>280</v>
    </oc>
    <nc r="K201">
      <v>260</v>
    </nc>
  </rcc>
  <rcc rId="17024" sId="4" numFmtId="4">
    <oc r="K208">
      <v>85</v>
    </oc>
    <nc r="K208">
      <v>65</v>
    </nc>
  </rcc>
  <rcc rId="17025" sId="4" numFmtId="4">
    <oc r="K21">
      <v>312</v>
    </oc>
    <nc r="K21">
      <v>260</v>
    </nc>
  </rcc>
  <rcc rId="17026" sId="4" numFmtId="4">
    <oc r="K27">
      <v>340</v>
    </oc>
    <nc r="K27">
      <v>302</v>
    </nc>
  </rcc>
  <rcc rId="17027" sId="4" numFmtId="4">
    <oc r="K28">
      <v>301</v>
    </oc>
    <nc r="K28">
      <v>267</v>
    </nc>
  </rcc>
  <rcc rId="17028" sId="4" numFmtId="4">
    <oc r="K30">
      <v>509</v>
    </oc>
    <nc r="K30">
      <v>320</v>
    </nc>
  </rcc>
  <rcc rId="17029" sId="4" numFmtId="4">
    <oc r="K31">
      <v>160</v>
    </oc>
    <nc r="K31">
      <v>120</v>
    </nc>
  </rcc>
  <rcc rId="17030" sId="4" numFmtId="4">
    <oc r="K32">
      <v>168</v>
    </oc>
    <nc r="K32">
      <v>136</v>
    </nc>
  </rcc>
  <rcc rId="17031" sId="4">
    <oc r="K33">
      <v>386</v>
    </oc>
    <nc r="K33">
      <v>298</v>
    </nc>
  </rcc>
  <rcc rId="17032" sId="4" numFmtId="4">
    <oc r="K35">
      <v>390</v>
    </oc>
    <nc r="K35">
      <v>320</v>
    </nc>
  </rcc>
  <rcc rId="17033" sId="4" numFmtId="4">
    <oc r="K36">
      <v>600</v>
    </oc>
    <nc r="K36">
      <v>490</v>
    </nc>
  </rcc>
  <rcc rId="17034" sId="4" numFmtId="4">
    <oc r="K37">
      <v>720</v>
    </oc>
    <nc r="K37">
      <v>610</v>
    </nc>
  </rcc>
  <rcc rId="17035" sId="4" numFmtId="4">
    <oc r="K39">
      <v>160</v>
    </oc>
    <nc r="K39">
      <v>141</v>
    </nc>
  </rcc>
  <rcc rId="17036" sId="4" numFmtId="4">
    <oc r="K43">
      <v>215</v>
    </oc>
    <nc r="K43">
      <v>175</v>
    </nc>
  </rcc>
  <rcc rId="17037" sId="4" numFmtId="4">
    <oc r="K45">
      <v>290</v>
    </oc>
    <nc r="K45">
      <v>221</v>
    </nc>
  </rcc>
  <rcc rId="17038" sId="4" numFmtId="4">
    <oc r="K48">
      <v>358</v>
    </oc>
    <nc r="K48">
      <v>302</v>
    </nc>
  </rcc>
  <rcc rId="17039" sId="4" numFmtId="4">
    <oc r="K51">
      <v>480</v>
    </oc>
    <nc r="K51">
      <v>364</v>
    </nc>
  </rcc>
  <rcc rId="17040" sId="4" numFmtId="4">
    <oc r="K53">
      <v>230</v>
    </oc>
    <nc r="K53">
      <v>180</v>
    </nc>
  </rcc>
  <rcc rId="17041" sId="4" numFmtId="4">
    <oc r="K57">
      <v>360</v>
    </oc>
    <nc r="K57">
      <v>245</v>
    </nc>
  </rcc>
  <rcc rId="17042" sId="4" numFmtId="4">
    <oc r="J65">
      <v>2</v>
    </oc>
    <nc r="J65">
      <v>4</v>
    </nc>
  </rcc>
  <rcc rId="17043" sId="4" numFmtId="4">
    <oc r="J64">
      <v>16</v>
    </oc>
    <nc r="J64">
      <v>27</v>
    </nc>
  </rcc>
  <rcc rId="17044" sId="4" numFmtId="4">
    <oc r="J63">
      <v>15</v>
    </oc>
    <nc r="J63">
      <v>35</v>
    </nc>
  </rcc>
  <rcc rId="17045" sId="4" numFmtId="4">
    <oc r="J75">
      <v>17</v>
    </oc>
    <nc r="J75">
      <v>27</v>
    </nc>
  </rcc>
  <rcc rId="17046" sId="4" numFmtId="4">
    <oc r="J73">
      <v>18</v>
    </oc>
    <nc r="J73">
      <v>29</v>
    </nc>
  </rcc>
  <rcc rId="17047" sId="4" numFmtId="4">
    <oc r="K102">
      <v>123</v>
    </oc>
    <nc r="K102">
      <v>80</v>
    </nc>
  </rcc>
  <rcc rId="17048" sId="4" numFmtId="4">
    <oc r="K103">
      <v>280</v>
    </oc>
    <nc r="K103">
      <v>160</v>
    </nc>
  </rcc>
  <rcc rId="17049" sId="4" numFmtId="4">
    <oc r="K104">
      <v>264</v>
    </oc>
    <nc r="K104">
      <v>154</v>
    </nc>
  </rcc>
  <rcc rId="17050" sId="4" numFmtId="4">
    <oc r="J105">
      <v>11</v>
    </oc>
    <nc r="J105">
      <v>24</v>
    </nc>
  </rcc>
  <rcc rId="17051" sId="4" numFmtId="4">
    <nc r="J114">
      <v>41</v>
    </nc>
  </rcc>
  <rcc rId="17052" sId="4" numFmtId="4">
    <oc r="K129">
      <v>200</v>
    </oc>
    <nc r="K129">
      <v>201</v>
    </nc>
  </rcc>
  <rcc rId="17053" sId="4" numFmtId="4">
    <oc r="J212">
      <v>5</v>
    </oc>
    <nc r="J212">
      <v>15</v>
    </nc>
  </rcc>
  <rcc rId="17054" sId="4" numFmtId="4">
    <oc r="J210">
      <v>25</v>
    </oc>
    <nc r="J210">
      <v>43</v>
    </nc>
  </rcc>
  <rcc rId="17055" sId="4" numFmtId="4">
    <oc r="K207">
      <v>70</v>
    </oc>
    <nc r="K207">
      <v>50</v>
    </nc>
  </rcc>
  <rcc rId="17056" sId="4" numFmtId="4">
    <oc r="K205">
      <v>255</v>
    </oc>
    <nc r="K205">
      <v>245</v>
    </nc>
  </rcc>
  <rcc rId="17057" sId="4" numFmtId="4">
    <nc r="J217">
      <v>18</v>
    </nc>
  </rcc>
  <rcc rId="17058" sId="4" numFmtId="4">
    <nc r="K217">
      <v>56</v>
    </nc>
  </rcc>
  <rcc rId="17059" sId="4" numFmtId="4">
    <oc r="J209">
      <v>9</v>
    </oc>
    <nc r="J209">
      <v>17</v>
    </nc>
  </rcc>
  <rcc rId="17060" sId="4" numFmtId="4">
    <oc r="J205">
      <v>29</v>
    </oc>
    <nc r="J205">
      <v>36</v>
    </nc>
  </rcc>
  <rcc rId="17061" sId="4" numFmtId="4">
    <oc r="J201">
      <v>28</v>
    </oc>
    <nc r="J201">
      <v>48</v>
    </nc>
  </rcc>
  <rcc rId="17062" sId="4">
    <nc r="K192">
      <f>SUM(K184:K191)</f>
    </nc>
  </rcc>
  <rcc rId="17063" sId="4" numFmtId="4">
    <oc r="K199">
      <f>SUM(K194:K198)</f>
    </oc>
    <nc r="K199">
      <v>140</v>
    </nc>
  </rcc>
  <rcc rId="17064" sId="4" numFmtId="4">
    <oc r="K194">
      <v>141</v>
    </oc>
    <nc r="K194">
      <v>98</v>
    </nc>
  </rcc>
  <rcc rId="17065" sId="4" numFmtId="4">
    <oc r="J171">
      <v>11</v>
    </oc>
    <nc r="J171">
      <v>31</v>
    </nc>
  </rcc>
  <rcc rId="17066" sId="4" numFmtId="4">
    <oc r="K166">
      <v>78</v>
    </oc>
    <nc r="K166">
      <v>49</v>
    </nc>
  </rcc>
  <rcc rId="17067" sId="4" numFmtId="4">
    <oc r="K128">
      <v>190</v>
    </oc>
    <nc r="K128">
      <v>137</v>
    </nc>
  </rcc>
  <rcc rId="17068" sId="4" numFmtId="4">
    <oc r="K75">
      <v>203</v>
    </oc>
    <nc r="K75">
      <v>197</v>
    </nc>
  </rcc>
  <rcc rId="17069" sId="4" numFmtId="4">
    <oc r="K237">
      <f>10+15+10+10</f>
    </oc>
    <nc r="K237">
      <v>43</v>
    </nc>
  </rcc>
  <rcc rId="17070" sId="4" numFmtId="4">
    <oc r="J57">
      <v>29</v>
    </oc>
    <nc r="J57">
      <v>34</v>
    </nc>
  </rcc>
  <rcc rId="17071" sId="4" numFmtId="4">
    <oc r="J53">
      <v>18</v>
    </oc>
    <nc r="J53">
      <v>28</v>
    </nc>
  </rcc>
  <rcc rId="17072" sId="4" numFmtId="4">
    <oc r="J51">
      <v>36</v>
    </oc>
    <nc r="J51">
      <v>46</v>
    </nc>
  </rcc>
  <rcc rId="17073" sId="4" numFmtId="4">
    <oc r="J48">
      <v>32</v>
    </oc>
    <nc r="J48">
      <v>42</v>
    </nc>
  </rcc>
  <rcc rId="17074" sId="4" numFmtId="4">
    <oc r="J42">
      <v>1</v>
    </oc>
    <nc r="J42">
      <v>3</v>
    </nc>
  </rcc>
  <rcc rId="17075" sId="4" numFmtId="4">
    <oc r="J40">
      <v>14</v>
    </oc>
    <nc r="J40">
      <v>18</v>
    </nc>
  </rcc>
  <rcc rId="17076" sId="4" numFmtId="4">
    <oc r="J54">
      <v>6</v>
    </oc>
    <nc r="J54">
      <v>16</v>
    </nc>
  </rcc>
  <rcc rId="17077" sId="4" numFmtId="4">
    <oc r="J29">
      <v>25</v>
    </oc>
    <nc r="J29">
      <v>39</v>
    </nc>
  </rcc>
  <rcc rId="17078" sId="4" numFmtId="4">
    <oc r="J27">
      <v>31</v>
    </oc>
    <nc r="J27">
      <v>41</v>
    </nc>
  </rcc>
  <rcc rId="17079" sId="4" numFmtId="4">
    <oc r="J25">
      <v>40</v>
    </oc>
    <nc r="J25">
      <v>50</v>
    </nc>
  </rcc>
  <rcc rId="17080" sId="4" numFmtId="4">
    <oc r="J101">
      <v>5</v>
    </oc>
    <nc r="J101">
      <v>15</v>
    </nc>
  </rcc>
  <rcc rId="17081" sId="4" numFmtId="4">
    <oc r="J102">
      <v>9</v>
    </oc>
    <nc r="J102">
      <v>18</v>
    </nc>
  </rcc>
  <rcc rId="17082" sId="4" numFmtId="4">
    <oc r="J106">
      <v>16</v>
    </oc>
    <nc r="J106">
      <v>35</v>
    </nc>
  </rcc>
  <rcc rId="17083" sId="4" numFmtId="4">
    <oc r="J129">
      <v>20</v>
    </oc>
    <nc r="J129">
      <v>37</v>
    </nc>
  </rcc>
  <rcc rId="17084" sId="4" numFmtId="4">
    <oc r="J131">
      <v>9</v>
    </oc>
    <nc r="J131">
      <v>16</v>
    </nc>
  </rcc>
  <rcc rId="17085" sId="4" numFmtId="4">
    <oc r="J184">
      <v>15</v>
    </oc>
    <nc r="J184">
      <v>27</v>
    </nc>
  </rcc>
  <rcc rId="17086" sId="4" numFmtId="4">
    <oc r="J179">
      <v>1</v>
    </oc>
    <nc r="J179">
      <v>3</v>
    </nc>
  </rcc>
  <rcc rId="17087" sId="4" numFmtId="4">
    <oc r="J176">
      <v>1</v>
    </oc>
    <nc r="J176">
      <v>2</v>
    </nc>
  </rcc>
  <rcc rId="17088" sId="4" numFmtId="4">
    <oc r="J107">
      <v>9</v>
    </oc>
    <nc r="J107">
      <v>15</v>
    </nc>
  </rcc>
  <rcc rId="17089" sId="4" numFmtId="4">
    <oc r="J237">
      <v>4</v>
    </oc>
    <nc r="J237">
      <v>9</v>
    </nc>
  </rcc>
  <rcc rId="17090" sId="4" numFmtId="4">
    <oc r="J221">
      <v>1</v>
    </oc>
    <nc r="J221">
      <v>3</v>
    </nc>
  </rcc>
  <rcc rId="17091" sId="4" numFmtId="4">
    <oc r="J67">
      <v>17</v>
    </oc>
    <nc r="J67">
      <v>34</v>
    </nc>
  </rcc>
  <rcc rId="17092" sId="4" numFmtId="4">
    <oc r="J28">
      <v>24</v>
    </oc>
    <nc r="J28">
      <v>37</v>
    </nc>
  </rcc>
  <rcc rId="17093" sId="4" numFmtId="4">
    <oc r="J21">
      <v>30</v>
    </oc>
    <nc r="J21">
      <v>31</v>
    </nc>
  </rcc>
  <rcc rId="17094" sId="4">
    <oc r="J249">
      <v>1596</v>
    </oc>
    <nc r="J249"/>
  </rcc>
  <rcc rId="17095" sId="4">
    <oc r="K249">
      <v>10823.1</v>
    </oc>
    <nc r="K249"/>
  </rcc>
  <rcc rId="17096" sId="4">
    <oc r="J250">
      <f>J243-J249</f>
    </oc>
    <nc r="J250"/>
  </rcc>
  <rcc rId="17097" sId="4">
    <oc r="K250">
      <f>K243-K249</f>
    </oc>
    <nc r="K250"/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'сентябрь 2014г'!$C$21:$C$246</formula>
    <oldFormula>'сентябрь 2014г'!$C$21:$C$246</oldFormula>
  </rdn>
  <rdn rId="0" localSheetId="3" customView="1" name="Z_A743F9C7_8B89_4E8F_B91F_1FFB859064F2_.wvu.Rows" hidden="1" oldHidden="1">
    <formula>'сентябрь 2014г. по 6-10'!$2:$12</formula>
    <oldFormula>'сентябрь 2014г. по 6-10'!$2:$12</oldFormula>
  </rdn>
  <rdn rId="0" localSheetId="3" customView="1" name="Z_A743F9C7_8B89_4E8F_B91F_1FFB859064F2_.wvu.FilterData" hidden="1" oldHidden="1">
    <formula>'сентябрь 2014г. по 6-10'!$C$21:$C$130</formula>
    <oldFormula>'сентябрь 2014г. по 6-10'!$C$21:$C$130</oldFormula>
  </rdn>
  <rdn rId="0" localSheetId="4" customView="1" name="Z_A743F9C7_8B89_4E8F_B91F_1FFB859064F2_.wvu.Rows" hidden="1" oldHidden="1">
    <formula>'сентябрь 2014г. по 0,4'!$2:$12</formula>
    <oldFormula>'сентябрь 2014г. по 0,4'!$2:$12</oldFormula>
  </rdn>
  <rdn rId="0" localSheetId="4" customView="1" name="Z_A743F9C7_8B89_4E8F_B91F_1FFB859064F2_.wvu.FilterData" hidden="1" oldHidden="1">
    <formula>'сентябрь 2014г. по 0,4'!$C$18:$C$127</formula>
    <oldFormula>'сентябрь 2014г. по 0,4'!$C$18:$C$127</oldFormula>
  </rdn>
  <rcv guid="{A743F9C7-8B89-4E8F-B91F-1FFB859064F2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16130" sId="4" numFmtId="4">
    <oc r="D31">
      <v>9</v>
    </oc>
    <nc r="D31">
      <v>10</v>
    </nc>
  </rcc>
  <rcc rId="16131" sId="4">
    <oc r="E31">
      <f>12+30+10+5+15+40+7+10+10</f>
    </oc>
    <nc r="E31">
      <f>12+30+10+5+15+40+7+10+10+15</f>
    </nc>
  </rcc>
  <rcc rId="16132" sId="4" numFmtId="4">
    <oc r="F31">
      <v>9</v>
    </oc>
    <nc r="F31">
      <v>10</v>
    </nc>
  </rcc>
  <rcc rId="16133" sId="4" numFmtId="4">
    <oc r="G31">
      <v>139</v>
    </oc>
    <nc r="G31">
      <v>154</v>
    </nc>
  </rcc>
  <rcc rId="16134" sId="4">
    <oc r="D147">
      <v>10</v>
    </oc>
    <nc r="D147">
      <v>11</v>
    </nc>
  </rcc>
  <rcc rId="16135" sId="4">
    <oc r="E147">
      <f>14.5+5+13+10+5+10+4+13+15+5</f>
    </oc>
    <nc r="E147">
      <f>14.5+5+13+10+5+10+4+13+15+5+8</f>
    </nc>
  </rcc>
  <rcc rId="16136" sId="4">
    <oc r="F147">
      <v>10</v>
    </oc>
    <nc r="F147">
      <v>11</v>
    </nc>
  </rcc>
  <rcc rId="16137" sId="4">
    <oc r="G147">
      <v>94.5</v>
    </oc>
    <nc r="G147">
      <v>102.5</v>
    </nc>
  </rcc>
  <rcc rId="16138" sId="4" numFmtId="4">
    <oc r="D90">
      <v>13</v>
    </oc>
    <nc r="D90">
      <v>14</v>
    </nc>
  </rcc>
  <rcc rId="16139" sId="4">
    <oc r="E90">
      <f>10+12+8+40+5+7+5+12+5+8+7+25+5</f>
    </oc>
    <nc r="E90">
      <f>10+12+8+40+5+7+5+12+5+8+7+25+5+5</f>
    </nc>
  </rcc>
  <rcc rId="16140" sId="4" numFmtId="4">
    <oc r="F90">
      <v>12</v>
    </oc>
    <nc r="F90">
      <v>14</v>
    </nc>
  </rcc>
  <rcc rId="16141" sId="4" numFmtId="4">
    <oc r="G90">
      <v>144</v>
    </oc>
    <nc r="G90">
      <v>154</v>
    </nc>
  </rcc>
  <rcc rId="16142" sId="3" numFmtId="4">
    <oc r="D34">
      <v>7</v>
    </oc>
    <nc r="D34">
      <v>9</v>
    </nc>
  </rcc>
  <rcc rId="16143" sId="3">
    <oc r="E34">
      <f>15+10+30+15+10+6+10</f>
    </oc>
    <nc r="E34">
      <f>15+10+30+15+10+6+10+30+160</f>
    </nc>
  </rcc>
  <rcc rId="16144" sId="3" numFmtId="4">
    <oc r="F34">
      <v>7</v>
    </oc>
    <nc r="F34">
      <v>9</v>
    </nc>
  </rcc>
  <rcc rId="16145" sId="3" numFmtId="4">
    <oc r="G34">
      <v>96</v>
    </oc>
    <nc r="G34">
      <v>286</v>
    </nc>
  </rcc>
  <rcc rId="16146" sId="3" numFmtId="4">
    <oc r="D67">
      <v>8</v>
    </oc>
    <nc r="D67">
      <v>10</v>
    </nc>
  </rcc>
  <rcc rId="16147" sId="3">
    <oc r="E67">
      <f>41+15+15+155+50+15+60+50</f>
    </oc>
    <nc r="E67">
      <f>41+15+15+155+50+15+60+50+250+100</f>
    </nc>
  </rcc>
  <rcc rId="16148" sId="3" numFmtId="4">
    <oc r="F67">
      <v>8</v>
    </oc>
    <nc r="F67">
      <v>10</v>
    </nc>
  </rcc>
  <rcc rId="16149" sId="3" numFmtId="4">
    <oc r="G67">
      <v>401</v>
    </oc>
    <nc r="G67">
      <v>751</v>
    </nc>
  </rcc>
  <rcc rId="16150" sId="3" numFmtId="4">
    <nc r="D148">
      <v>1</v>
    </nc>
  </rcc>
  <rcc rId="16151" sId="3" numFmtId="4">
    <nc r="E148">
      <v>10</v>
    </nc>
  </rcc>
  <rcc rId="16152" sId="3" numFmtId="4">
    <nc r="F148">
      <v>1</v>
    </nc>
  </rcc>
  <rcc rId="16153" sId="3" numFmtId="4">
    <nc r="G148">
      <v>10</v>
    </nc>
  </rcc>
  <rcc rId="16154" sId="3" numFmtId="4">
    <oc r="D107">
      <v>7</v>
    </oc>
    <nc r="D107">
      <v>8</v>
    </nc>
  </rcc>
  <rcc rId="16155" sId="3">
    <oc r="E107">
      <f>15+630+12+45+30+60+70</f>
    </oc>
    <nc r="E107">
      <f>15+630+12+45+30+60+70+10</f>
    </nc>
  </rcc>
  <rcc rId="16156" sId="3" numFmtId="4">
    <oc r="F107">
      <v>7</v>
    </oc>
    <nc r="F107">
      <v>8</v>
    </nc>
  </rcc>
  <rcc rId="16157" sId="3" numFmtId="4">
    <oc r="G107">
      <v>862</v>
    </oc>
    <nc r="G107">
      <v>872</v>
    </nc>
  </rcc>
  <rcc rId="16158" sId="3" numFmtId="4">
    <oc r="D35">
      <v>12</v>
    </oc>
    <nc r="D35">
      <v>14</v>
    </nc>
  </rcc>
  <rcc rId="16159" sId="3">
    <oc r="E35">
      <f>15+100+25+20+20+25+160+45+15+90+30+120</f>
    </oc>
    <nc r="E35">
      <f>15+100+25+20+20+25+160+45+15+90+30+120+160+10</f>
    </nc>
  </rcc>
  <rcc rId="16160" sId="3" numFmtId="4">
    <oc r="F35">
      <v>12</v>
    </oc>
    <nc r="F35">
      <v>14</v>
    </nc>
  </rcc>
  <rcc rId="16161" sId="3" numFmtId="4">
    <oc r="G35">
      <v>665</v>
    </oc>
    <nc r="G35">
      <v>835</v>
    </nc>
  </rcc>
  <rcc rId="16162" sId="3" numFmtId="4">
    <oc r="D171">
      <v>1</v>
    </oc>
    <nc r="D171">
      <v>2</v>
    </nc>
  </rcc>
  <rcc rId="16163" sId="3">
    <oc r="E171">
      <v>10</v>
    </oc>
    <nc r="E171">
      <f>10+10</f>
    </nc>
  </rcc>
  <rcc rId="16164" sId="3" numFmtId="4">
    <oc r="F171">
      <v>1</v>
    </oc>
    <nc r="F171">
      <v>2</v>
    </nc>
  </rcc>
  <rcc rId="16165" sId="3" numFmtId="4">
    <oc r="G171">
      <v>10</v>
    </oc>
    <nc r="G171">
      <v>20</v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'сентябрь 2014г'!$C$21:$C$246</formula>
    <oldFormula>'сентябрь 2014г'!$C$21:$C$246</oldFormula>
  </rdn>
  <rdn rId="0" localSheetId="3" customView="1" name="Z_A743F9C7_8B89_4E8F_B91F_1FFB859064F2_.wvu.Rows" hidden="1" oldHidden="1">
    <formula>'сентябрь 2014г. по 6-10'!$2:$12</formula>
    <oldFormula>'сентябрь 2014г. по 6-10'!$2:$12</oldFormula>
  </rdn>
  <rdn rId="0" localSheetId="3" customView="1" name="Z_A743F9C7_8B89_4E8F_B91F_1FFB859064F2_.wvu.FilterData" hidden="1" oldHidden="1">
    <formula>'сентябрь 2014г. по 6-10'!$C$21:$C$130</formula>
    <oldFormula>'сентябрь 2014г. по 6-10'!$C$21:$C$130</oldFormula>
  </rdn>
  <rdn rId="0" localSheetId="4" customView="1" name="Z_A743F9C7_8B89_4E8F_B91F_1FFB859064F2_.wvu.Rows" hidden="1" oldHidden="1">
    <formula>'сентябрь 2014г. по 0,4'!$2:$12</formula>
    <oldFormula>'сентябрь 2014г. по 0,4'!$2:$12</oldFormula>
  </rdn>
  <rdn rId="0" localSheetId="4" customView="1" name="Z_A743F9C7_8B89_4E8F_B91F_1FFB859064F2_.wvu.FilterData" hidden="1" oldHidden="1">
    <formula>'сентябрь 2014г. по 0,4'!$C$18:$C$127</formula>
    <oldFormula>'сентябрь 2014г. по 0,4'!$C$18:$C$127</oldFormula>
  </rdn>
  <rcv guid="{A743F9C7-8B89-4E8F-B91F-1FFB859064F2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15709" sId="4" numFmtId="4">
    <oc r="D38">
      <v>18</v>
    </oc>
    <nc r="D38">
      <v>19</v>
    </nc>
  </rcc>
  <rcc rId="15710" sId="4">
    <oc r="E38">
      <f>7+12+15+13+13+12+7+5+35+15+2.2+8+10+14+5+9+15+14</f>
    </oc>
    <nc r="E38">
      <f>7+12+15+13+13+12+7+5+35+15+2.2+8+10+14+5+9+15+14+15</f>
    </nc>
  </rcc>
  <rcc rId="15711" sId="4" numFmtId="4">
    <oc r="F38">
      <v>18</v>
    </oc>
    <nc r="F38">
      <v>19</v>
    </nc>
  </rcc>
  <rcc rId="15712" sId="4" numFmtId="4">
    <oc r="G38">
      <v>211.2</v>
    </oc>
    <nc r="G38">
      <v>226.2</v>
    </nc>
  </rcc>
  <rcc rId="15713" sId="4" numFmtId="4">
    <oc r="D30">
      <v>8</v>
    </oc>
    <nc r="D30">
      <v>9</v>
    </nc>
  </rcc>
  <rcc rId="15714" sId="4">
    <oc r="E30">
      <f>8+8+8+6+15+15+15+1.1</f>
    </oc>
    <nc r="E30">
      <f>8+8+8+6+15+15+15+1.1+15</f>
    </nc>
  </rcc>
  <rcc rId="15715" sId="4" numFmtId="4">
    <oc r="F30">
      <v>8</v>
    </oc>
    <nc r="F30">
      <v>9</v>
    </nc>
  </rcc>
  <rcc rId="15716" sId="4" numFmtId="4">
    <oc r="G30">
      <v>76.099999999999994</v>
    </oc>
    <nc r="G30">
      <v>91.1</v>
    </nc>
  </rcc>
  <rcc rId="15717" sId="4" numFmtId="4">
    <oc r="D64">
      <v>31</v>
    </oc>
    <nc r="D64">
      <v>35</v>
    </nc>
  </rcc>
  <rcc rId="15718" sId="4">
    <oc r="E64">
      <f>15+15+5+15+15+15+15+8+15+15+15+15+4.5+15+10+15+10+15+15+15+13+15+15+5+5+10+5+15+6+6+15</f>
    </oc>
    <nc r="E64">
      <f>15+15+5+15+15+15+15+8+15+15+15+15+4.5+15+10+15+10+15+15+15+13+15+15+5+5+10+5+15+6+6+15+15+10+15+15</f>
    </nc>
  </rcc>
  <rcc rId="15719" sId="4" numFmtId="4">
    <oc r="F64">
      <v>31</v>
    </oc>
    <nc r="F64">
      <v>35</v>
    </nc>
  </rcc>
  <rcc rId="15720" sId="4" numFmtId="4">
    <oc r="G64">
      <v>372.5</v>
    </oc>
    <nc r="G64">
      <v>427.5</v>
    </nc>
  </rcc>
  <rcc rId="15721" sId="4" numFmtId="4">
    <oc r="D63">
      <v>49</v>
    </oc>
    <nc r="D63">
      <v>54</v>
    </nc>
  </rcc>
  <rcc rId="15722" sId="4">
    <oc r="E63">
      <f>10+7+12+8+15+15+4+12+8+8+7+12+7+15+6+6+8+7+5+15+10+3+15+10+10+5+5+15+5+20+14+15+15+10+15+10+15+3+6+6+8+3+10+8+15+25+6+5+15</f>
    </oc>
    <nc r="E63">
      <f>10+7+12+8+15+15+4+12+8+8+7+12+7+15+6+6+8+7+5+15+10+3+15+10+10+5+5+15+5+20+14+15+15+10+15+10+15+3+6+6+8+3+10+8+15+25+6+5+15+10+25+15+15+15</f>
    </nc>
  </rcc>
  <rcc rId="15723" sId="4" numFmtId="4">
    <oc r="F63">
      <v>49</v>
    </oc>
    <nc r="F63">
      <v>54</v>
    </nc>
  </rcc>
  <rcc rId="15724" sId="4" numFmtId="4">
    <oc r="G63">
      <v>489</v>
    </oc>
    <nc r="G63">
      <v>569</v>
    </nc>
  </rcc>
  <rcc rId="15725" sId="4" numFmtId="4">
    <nc r="D95">
      <v>1</v>
    </nc>
  </rcc>
  <rcc rId="15726" sId="4" numFmtId="4">
    <nc r="E95">
      <v>10</v>
    </nc>
  </rcc>
  <rcc rId="15727" sId="4" numFmtId="4">
    <nc r="F95">
      <v>1</v>
    </nc>
  </rcc>
  <rcc rId="15728" sId="4" numFmtId="4">
    <nc r="G95">
      <v>10</v>
    </nc>
  </rcc>
  <rcc rId="15729" sId="4" numFmtId="4">
    <oc r="D106">
      <v>2</v>
    </oc>
    <nc r="D106">
      <v>3</v>
    </nc>
  </rcc>
  <rcc rId="15730" sId="4">
    <oc r="E106">
      <f>7+14.5</f>
    </oc>
    <nc r="E106">
      <f>7+14.5+7</f>
    </nc>
  </rcc>
  <rcc rId="15731" sId="4" numFmtId="4">
    <oc r="F106">
      <v>2</v>
    </oc>
    <nc r="F106">
      <v>3</v>
    </nc>
  </rcc>
  <rcc rId="15732" sId="4" numFmtId="4">
    <oc r="G106">
      <f>7+14.5</f>
    </oc>
    <nc r="G106">
      <v>28.5</v>
    </nc>
  </rcc>
  <rcc rId="15733" sId="4" numFmtId="4">
    <oc r="D36">
      <v>60</v>
    </oc>
    <nc r="D36">
      <v>61</v>
    </nc>
  </rcc>
  <rcc rId="15734" sId="4">
    <oc r="E36">
      <f>5+6+5+2+5+10+3+5+2+14+5+6+2+6+5+3+2.5+10+1+2+3+2+1.5+14+2.5+2+3+3+5+14.5+5+5+15+15+10+10+15+4+3.5+7+2+20+5+15+2+8+7+10+6+5+8+15+11.5+5+3+10+5+2+15+15</f>
    </oc>
    <nc r="E36">
      <f>5+6+5+2+5+10+3+5+2+14+5+6+2+6+5+3+2.5+10+1+2+3+2+1.5+14+2.5+2+3+3+5+14.5+5+5+15+15+10+10+15+4+3.5+7+2+20+5+15+2+8+7+10+6+5+8+15+11.5+5+3+10+5+2+15+15+15</f>
    </nc>
  </rcc>
  <rcc rId="15735" sId="4" numFmtId="4">
    <oc r="F36">
      <v>60</v>
    </oc>
    <nc r="F36">
      <v>61</v>
    </nc>
  </rcc>
  <rcc rId="15736" sId="4" numFmtId="4">
    <oc r="G36">
      <v>409</v>
    </oc>
    <nc r="G36">
      <v>424</v>
    </nc>
  </rcc>
  <rcc rId="15737" sId="3">
    <oc r="E117">
      <f>360+15+320+20+155+360+80+60+15+54+80+50+10+10+200+60</f>
    </oc>
    <nc r="E117">
      <f>360+15+320+20+155+360+80+60+15+54+80+50+10+10+200+60+194</f>
    </nc>
  </rcc>
  <rcc rId="15738" sId="3" numFmtId="4">
    <oc r="D117">
      <v>16</v>
    </oc>
    <nc r="D117">
      <v>17</v>
    </nc>
  </rcc>
  <rcc rId="15739" sId="3" numFmtId="4">
    <oc r="F117">
      <v>16</v>
    </oc>
    <nc r="F117">
      <v>17</v>
    </nc>
  </rcc>
  <rcc rId="15740" sId="3" numFmtId="4">
    <oc r="G117">
      <v>1849</v>
    </oc>
    <nc r="G117">
      <v>2043</v>
    </nc>
  </rcc>
  <rcc rId="15741" sId="3" numFmtId="4">
    <oc r="D67">
      <v>7</v>
    </oc>
    <nc r="D67">
      <v>8</v>
    </nc>
  </rcc>
  <rcc rId="15742" sId="3">
    <oc r="E67">
      <f>41+15+15+155+50+15+60</f>
    </oc>
    <nc r="E67">
      <f>41+15+15+155+50+15+60+50</f>
    </nc>
  </rcc>
  <rcc rId="15743" sId="3" numFmtId="4">
    <oc r="F67">
      <v>7</v>
    </oc>
    <nc r="F67">
      <v>8</v>
    </nc>
  </rcc>
  <rcc rId="15744" sId="3" numFmtId="4">
    <oc r="G67">
      <v>351</v>
    </oc>
    <nc r="G67">
      <v>401</v>
    </nc>
  </rcc>
  <rcc rId="15745" sId="3">
    <oc r="D36">
      <v>14</v>
    </oc>
    <nc r="D36">
      <v>17</v>
    </nc>
  </rcc>
  <rcc rId="15746" sId="3">
    <oc r="E36">
      <f>50+150+18+160+90+200+75+15+150+50+86+20+6+400</f>
    </oc>
    <nc r="E36">
      <f>50+150+18+160+90+200+75+15+150+50+86+20+6+400+15+15+40</f>
    </nc>
  </rcc>
  <rcc rId="15747" sId="3">
    <oc r="F36">
      <v>14</v>
    </oc>
    <nc r="F36">
      <v>17</v>
    </nc>
  </rcc>
  <rcc rId="15748" sId="3">
    <oc r="G36">
      <v>1470</v>
    </oc>
    <nc r="G36">
      <v>1540</v>
    </nc>
  </rcc>
  <rcc rId="15749" sId="4" numFmtId="4">
    <oc r="D101">
      <v>21</v>
    </oc>
    <nc r="D101">
      <v>22</v>
    </nc>
  </rcc>
  <rcc rId="15750" sId="4">
    <oc r="E101">
      <f>4+5+13+8+160+10+5+14+10+3+5+6+8+3+10+10+12+6+6+5+3</f>
    </oc>
    <nc r="E101">
      <f>4+5+13+8+160+10+5+14+10+3+5+6+8+3+10+10+12+6+6+5+3+5</f>
    </nc>
  </rcc>
  <rcc rId="15751" sId="4" numFmtId="4">
    <oc r="F101">
      <v>21</v>
    </oc>
    <nc r="F101">
      <v>22</v>
    </nc>
  </rcc>
  <rcc rId="15752" sId="4" numFmtId="4">
    <oc r="G101">
      <v>306</v>
    </oc>
    <nc r="G101">
      <v>311</v>
    </nc>
  </rcc>
  <rcc rId="15753" sId="4" numFmtId="4">
    <oc r="D114">
      <v>10</v>
    </oc>
    <nc r="D114">
      <v>11</v>
    </nc>
  </rcc>
  <rcc rId="15754" sId="4">
    <oc r="E114">
      <f>5+5+13.5+7.3+1.1+6+7+7+7+9</f>
    </oc>
    <nc r="E114">
      <f>5+5+13.5+7.3+1.1+6+7+7+7+9+5</f>
    </nc>
  </rcc>
  <rcc rId="15755" sId="4" numFmtId="4">
    <oc r="F114">
      <v>10</v>
    </oc>
    <nc r="F114">
      <v>11</v>
    </nc>
  </rcc>
  <rcc rId="15756" sId="4" numFmtId="4">
    <oc r="G114">
      <v>57.9</v>
    </oc>
    <nc r="G114">
      <v>72.900000000000006</v>
    </nc>
  </rcc>
  <rcc rId="15757" sId="4" numFmtId="4">
    <oc r="D22">
      <v>0</v>
    </oc>
    <nc r="D22">
      <v>1</v>
    </nc>
  </rcc>
  <rcc rId="15758" sId="4" numFmtId="4">
    <oc r="E22">
      <v>0</v>
    </oc>
    <nc r="E22">
      <v>250</v>
    </nc>
  </rcc>
  <rcc rId="15759" sId="4" numFmtId="4">
    <oc r="F22">
      <v>0</v>
    </oc>
    <nc r="F22">
      <v>1</v>
    </nc>
  </rcc>
  <rcc rId="15760" sId="4" numFmtId="4">
    <oc r="G22">
      <v>0</v>
    </oc>
    <nc r="G22">
      <v>250</v>
    </nc>
  </rcc>
  <rcc rId="15761" sId="4">
    <oc r="D33">
      <v>32</v>
    </oc>
    <nc r="D33">
      <v>33</v>
    </nc>
  </rcc>
  <rcc rId="15762" sId="4">
    <oc r="E33">
      <f>5.5+15+6+4+10+10+6+6+15+10+8+5+6+5+4+12+12+5+5+5+11+14+10+8+12+10+12+13+10+20+9+10</f>
    </oc>
    <nc r="E33">
      <f>5.5+15+6+4+10+10+6+6+15+10+8+5+6+5+4+12+12+5+5+5+11+14+10+8+12+10+12+13+10+20+9+10+15</f>
    </nc>
  </rcc>
  <rcc rId="15763" sId="4">
    <oc r="F33">
      <v>32</v>
    </oc>
    <nc r="F33">
      <v>33</v>
    </nc>
  </rcc>
  <rcc rId="15764" sId="4">
    <oc r="G33">
      <v>293.5</v>
    </oc>
    <nc r="G33">
      <v>308.5</v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'август 2014г'!$C$21:$C$246</formula>
    <oldFormula>'август 2014г'!$C$21:$C$246</oldFormula>
  </rdn>
  <rdn rId="0" localSheetId="3" customView="1" name="Z_A743F9C7_8B89_4E8F_B91F_1FFB859064F2_.wvu.Rows" hidden="1" oldHidden="1">
    <formula>'август 2014г. по 6-10'!$2:$12</formula>
    <oldFormula>'август 2014г. по 6-10'!$2:$12</oldFormula>
  </rdn>
  <rdn rId="0" localSheetId="3" customView="1" name="Z_A743F9C7_8B89_4E8F_B91F_1FFB859064F2_.wvu.FilterData" hidden="1" oldHidden="1">
    <formula>'август 2014г. по 6-10'!$C$21:$C$130</formula>
    <oldFormula>'август 2014г. по 6-10'!$C$21:$C$130</oldFormula>
  </rdn>
  <rdn rId="0" localSheetId="4" customView="1" name="Z_A743F9C7_8B89_4E8F_B91F_1FFB859064F2_.wvu.Rows" hidden="1" oldHidden="1">
    <formula>'август 2014г. по 0,4'!$2:$12</formula>
    <oldFormula>'август 2014г. по 0,4'!$2:$12</oldFormula>
  </rdn>
  <rdn rId="0" localSheetId="4" customView="1" name="Z_A743F9C7_8B89_4E8F_B91F_1FFB859064F2_.wvu.FilterData" hidden="1" oldHidden="1">
    <formula>'август 2014г. по 0,4'!$C$18:$C$127</formula>
    <oldFormula>'август 2014г. по 0,4'!$C$18:$C$127</oldFormula>
  </rdn>
  <rcv guid="{A743F9C7-8B89-4E8F-B91F-1FFB859064F2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'сентябрь 2014г'!$C$21:$C$246</formula>
    <oldFormula>'сентябрь 2014г'!$C$21:$C$246</oldFormula>
  </rdn>
  <rdn rId="0" localSheetId="3" customView="1" name="Z_A743F9C7_8B89_4E8F_B91F_1FFB859064F2_.wvu.Rows" hidden="1" oldHidden="1">
    <formula>'сентябрь 2014г. по 6-10'!$2:$12</formula>
    <oldFormula>'сентябрь 2014г. по 6-10'!$2:$12</oldFormula>
  </rdn>
  <rdn rId="0" localSheetId="3" customView="1" name="Z_A743F9C7_8B89_4E8F_B91F_1FFB859064F2_.wvu.FilterData" hidden="1" oldHidden="1">
    <formula>'сентябрь 2014г. по 6-10'!$C$21:$C$130</formula>
    <oldFormula>'сентябрь 2014г. по 6-10'!$C$21:$C$130</oldFormula>
  </rdn>
  <rdn rId="0" localSheetId="4" customView="1" name="Z_A743F9C7_8B89_4E8F_B91F_1FFB859064F2_.wvu.Rows" hidden="1" oldHidden="1">
    <formula>'сентябрь 2014г. по 0,4'!$2:$12</formula>
    <oldFormula>'сентябрь 2014г. по 0,4'!$2:$12</oldFormula>
  </rdn>
  <rdn rId="0" localSheetId="4" customView="1" name="Z_A743F9C7_8B89_4E8F_B91F_1FFB859064F2_.wvu.FilterData" hidden="1" oldHidden="1">
    <formula>'сентябрь 2014г. по 0,4'!$C$18:$C$127</formula>
    <oldFormula>'сентябрь 2014г. по 0,4'!$C$18:$C$127</oldFormula>
  </rdn>
  <rcv guid="{A743F9C7-8B89-4E8F-B91F-1FFB859064F2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15871" sId="4" numFmtId="4">
    <nc r="D203">
      <v>1</v>
    </nc>
  </rcc>
  <rcc rId="15872" sId="4" numFmtId="4">
    <nc r="E203">
      <v>29</v>
    </nc>
  </rcc>
  <rcc rId="15873" sId="4" numFmtId="4">
    <nc r="F203">
      <v>1</v>
    </nc>
  </rcc>
  <rcc rId="15874" sId="4" numFmtId="4">
    <nc r="G203">
      <v>29</v>
    </nc>
  </rcc>
  <rcc rId="15875" sId="4" numFmtId="4">
    <oc r="D144">
      <v>14</v>
    </oc>
    <nc r="D144">
      <v>15</v>
    </nc>
  </rcc>
  <rcc rId="15876" sId="4">
    <oc r="E144">
      <f>2+4.2+13+2.5+5+2.5+2.5+2.5+3+4+2+1.5+13+3</f>
    </oc>
    <nc r="E144">
      <f>2+4.2+13+2.5+5+2.5+2.5+2.5+3+4+2+1.5+13+3+5</f>
    </nc>
  </rcc>
  <rcc rId="15877" sId="4" numFmtId="4">
    <oc r="D90">
      <v>12</v>
    </oc>
    <nc r="D90">
      <v>13</v>
    </nc>
  </rcc>
  <rcc rId="15878" sId="4">
    <oc r="E90">
      <f>10+12+8+40+5+7+5+12+5+8+7+25</f>
    </oc>
    <nc r="E90">
      <f>10+12+8+40+5+7+5+12+5+8+7+25+5</f>
    </nc>
  </rcc>
  <rcc rId="15879" sId="4">
    <oc r="D33">
      <v>33</v>
    </oc>
    <nc r="D33">
      <v>34</v>
    </nc>
  </rcc>
  <rcc rId="15880" sId="4">
    <oc r="E33">
      <f>5.5+15+6+4+10+10+6+6+15+10+8+5+6+5+4+12+12+5+5+5+11+14+10+8+12+10+12+13+10+20+9+10+15</f>
    </oc>
    <nc r="E33">
      <f>5.5+15+6+4+10+10+6+6+15+10+8+5+6+5+4+12+12+5+5+5+11+14+10+8+12+10+12+13+10+20+9+10+15+6</f>
    </nc>
  </rcc>
  <rcc rId="15881" sId="3" numFmtId="4">
    <oc r="D77">
      <v>4</v>
    </oc>
    <nc r="D77">
      <v>5</v>
    </nc>
  </rcc>
  <rcc rId="15882" sId="3">
    <oc r="E77">
      <f>15+5+10+10</f>
    </oc>
    <nc r="E77">
      <f>15+5+10+10+100</f>
    </nc>
  </rcc>
  <rcc rId="15883" sId="3" numFmtId="4">
    <nc r="D233">
      <v>2</v>
    </nc>
  </rcc>
  <rcc rId="15884" sId="3">
    <nc r="E233">
      <f>10+10</f>
    </nc>
  </rcc>
  <rcc rId="15885" sId="3">
    <oc r="C74" t="inlineStr">
      <is>
        <t>ГЩЗ</t>
      </is>
    </oc>
    <nc r="C74" t="inlineStr">
      <is>
        <t>ГЩЗ (Кизилюртовская</t>
      </is>
    </nc>
  </rcc>
  <rcc rId="15886" sId="3" numFmtId="4">
    <oc r="D74">
      <v>4</v>
    </oc>
    <nc r="D74">
      <v>5</v>
    </nc>
  </rcc>
  <rcc rId="15887" sId="3">
    <oc r="E74">
      <f>15+15+100+10</f>
    </oc>
    <nc r="E74">
      <f>15+15+100+10+100</f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'август 2014г'!$C$21:$C$246</formula>
    <oldFormula>'август 2014г'!$C$21:$C$246</oldFormula>
  </rdn>
  <rdn rId="0" localSheetId="3" customView="1" name="Z_A743F9C7_8B89_4E8F_B91F_1FFB859064F2_.wvu.Rows" hidden="1" oldHidden="1">
    <formula>'август 2014г. по 6-10'!$2:$12</formula>
    <oldFormula>'август 2014г. по 6-10'!$2:$12</oldFormula>
  </rdn>
  <rdn rId="0" localSheetId="3" customView="1" name="Z_A743F9C7_8B89_4E8F_B91F_1FFB859064F2_.wvu.FilterData" hidden="1" oldHidden="1">
    <formula>'август 2014г. по 6-10'!$C$21:$C$130</formula>
    <oldFormula>'август 2014г. по 6-10'!$C$21:$C$130</oldFormula>
  </rdn>
  <rdn rId="0" localSheetId="4" customView="1" name="Z_A743F9C7_8B89_4E8F_B91F_1FFB859064F2_.wvu.Rows" hidden="1" oldHidden="1">
    <formula>'август 2014г. по 0,4'!$2:$12</formula>
    <oldFormula>'август 2014г. по 0,4'!$2:$12</oldFormula>
  </rdn>
  <rdn rId="0" localSheetId="4" customView="1" name="Z_A743F9C7_8B89_4E8F_B91F_1FFB859064F2_.wvu.FilterData" hidden="1" oldHidden="1">
    <formula>'август 2014г. по 0,4'!$C$18:$C$127</formula>
    <oldFormula>'август 2014г. по 0,4'!$C$18:$C$127</oldFormula>
  </rdn>
  <rcv guid="{A743F9C7-8B89-4E8F-B91F-1FFB859064F2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fmt sheetId="4" sqref="D249:K249" start="0" length="2147483647">
    <dxf>
      <font>
        <b/>
      </font>
    </dxf>
  </rfmt>
  <rcc rId="16474" sId="4">
    <nc r="D250">
      <f>D243-D249</f>
    </nc>
  </rcc>
  <rcc rId="16475" sId="4" odxf="1" dxf="1">
    <nc r="E250">
      <f>E243-E249</f>
    </nc>
    <odxf>
      <numFmt numFmtId="0" formatCode="General"/>
    </odxf>
    <ndxf>
      <numFmt numFmtId="3" formatCode="#,##0"/>
    </ndxf>
  </rcc>
  <rcc rId="16476" sId="4" odxf="1" dxf="1">
    <nc r="F250">
      <f>F243-F249</f>
    </nc>
    <odxf>
      <numFmt numFmtId="0" formatCode="General"/>
    </odxf>
    <ndxf>
      <numFmt numFmtId="3" formatCode="#,##0"/>
    </ndxf>
  </rcc>
  <rcc rId="16477" sId="4" odxf="1" dxf="1">
    <nc r="G250">
      <f>G243-G249</f>
    </nc>
    <odxf>
      <numFmt numFmtId="0" formatCode="General"/>
    </odxf>
    <ndxf>
      <numFmt numFmtId="3" formatCode="#,##0"/>
    </ndxf>
  </rcc>
  <rcc rId="16478" sId="4" odxf="1" s="1" dxf="1">
    <nc r="H250">
      <f>H243-H249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numFmt numFmtId="21" formatCode="dd/mmm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Arial Cyr"/>
        <scheme val="none"/>
      </font>
      <numFmt numFmtId="3" formatCode="#,##0"/>
      <alignment vertical="bottom" wrapText="0" readingOrder="0"/>
      <border outline="0">
        <left/>
        <top/>
        <bottom/>
      </border>
    </ndxf>
  </rcc>
  <rcc rId="16479" sId="4" odxf="1" s="1" dxf="1">
    <nc r="I250">
      <f>I243-I249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Arial Cyr"/>
        <scheme val="none"/>
      </font>
      <numFmt numFmtId="3" formatCode="#,##0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ndxf>
  </rcc>
  <rcc rId="16480" sId="4" odxf="1" dxf="1">
    <nc r="J250">
      <f>J243-J249</f>
    </nc>
    <odxf>
      <numFmt numFmtId="0" formatCode="General"/>
    </odxf>
    <ndxf>
      <numFmt numFmtId="3" formatCode="#,##0"/>
    </ndxf>
  </rcc>
  <rcc rId="16481" sId="4" odxf="1" s="1" dxf="1">
    <nc r="K250">
      <f>K243-K249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Arial Cyr"/>
        <scheme val="none"/>
      </font>
      <numFmt numFmtId="3" formatCode="#,##0"/>
      <alignment horizontal="general" vertical="bottom" wrapText="0" readingOrder="0"/>
      <border outline="0">
        <left/>
        <right/>
        <top/>
        <bottom/>
      </border>
    </ndxf>
  </rcc>
  <rcc rId="16482" sId="3" odxf="1" dxf="1">
    <nc r="D252">
      <f>D246-D251</f>
    </nc>
    <odxf>
      <numFmt numFmtId="0" formatCode="General"/>
    </odxf>
    <ndxf>
      <numFmt numFmtId="3" formatCode="#,##0"/>
    </ndxf>
  </rcc>
  <rcc rId="16483" sId="3" odxf="1" dxf="1">
    <nc r="E252">
      <f>E246-E251</f>
    </nc>
    <odxf>
      <numFmt numFmtId="0" formatCode="General"/>
    </odxf>
    <ndxf>
      <numFmt numFmtId="3" formatCode="#,##0"/>
    </ndxf>
  </rcc>
  <rcc rId="16484" sId="3" odxf="1" dxf="1">
    <nc r="F252">
      <f>F246-F251</f>
    </nc>
    <odxf>
      <numFmt numFmtId="0" formatCode="General"/>
    </odxf>
    <ndxf>
      <numFmt numFmtId="3" formatCode="#,##0"/>
    </ndxf>
  </rcc>
  <rcc rId="16485" sId="3" odxf="1" dxf="1">
    <nc r="G252">
      <f>G246-G251</f>
    </nc>
    <odxf>
      <numFmt numFmtId="0" formatCode="General"/>
    </odxf>
    <ndxf>
      <numFmt numFmtId="3" formatCode="#,##0"/>
    </ndxf>
  </rcc>
  <rcc rId="16486" sId="3" odxf="1" s="1" dxf="1">
    <nc r="H252">
      <f>H246-H251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numFmt numFmtId="21" formatCode="dd/mmm"/>
      <fill>
        <patternFill patternType="solid">
          <fgColor indexed="64"/>
          <bgColor theme="0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Arial Cyr"/>
        <scheme val="none"/>
      </font>
      <numFmt numFmtId="3" formatCode="#,##0"/>
      <alignment vertical="bottom" wrapText="0" readingOrder="0"/>
      <border outline="0">
        <left/>
        <top/>
        <bottom/>
      </border>
    </ndxf>
  </rcc>
  <rcc rId="16487" sId="3" odxf="1" s="1" dxf="1">
    <nc r="I252">
      <f>I246-I251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Arial Cyr"/>
        <scheme val="none"/>
      </font>
      <numFmt numFmtId="3" formatCode="#,##0"/>
      <alignment horizontal="general" vertical="bottom" wrapText="0" readingOrder="0"/>
      <border outline="0">
        <left/>
        <right/>
        <top/>
        <bottom/>
      </border>
    </ndxf>
  </rcc>
  <rcc rId="16488" sId="3" odxf="1" dxf="1">
    <nc r="J252">
      <f>J246-J251</f>
    </nc>
    <odxf>
      <numFmt numFmtId="0" formatCode="General"/>
      <fill>
        <patternFill patternType="none">
          <bgColor indexed="65"/>
        </patternFill>
      </fill>
    </odxf>
    <ndxf>
      <numFmt numFmtId="3" formatCode="#,##0"/>
      <fill>
        <patternFill patternType="solid">
          <bgColor theme="0"/>
        </patternFill>
      </fill>
    </ndxf>
  </rcc>
  <rcc rId="16489" sId="3" odxf="1" s="1" dxf="1">
    <nc r="K252">
      <f>K246-K251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Arial Cyr"/>
        <scheme val="none"/>
      </font>
      <numFmt numFmtId="3" formatCode="#,##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ndxf>
  </rcc>
  <rcc rId="16490" sId="3" numFmtId="4">
    <oc r="E219">
      <f>4.4+120</f>
    </oc>
    <nc r="E219">
      <v>44</v>
    </nc>
  </rcc>
  <rcc rId="16491" sId="3" numFmtId="4">
    <oc r="G219">
      <v>124.4</v>
    </oc>
    <nc r="G219">
      <v>44</v>
    </nc>
  </rcc>
  <rcc rId="16492" sId="3" numFmtId="4">
    <oc r="E215">
      <f>10+320+5</f>
    </oc>
    <nc r="E215">
      <v>120</v>
    </nc>
  </rcc>
  <rcc rId="16493" sId="3" numFmtId="4">
    <oc r="G215">
      <v>335</v>
    </oc>
    <nc r="G215">
      <v>120</v>
    </nc>
  </rcc>
  <rcc rId="16494" sId="3" numFmtId="4">
    <oc r="G213">
      <v>305</v>
    </oc>
    <nc r="G213">
      <v>100</v>
    </nc>
  </rcc>
  <rcc rId="16495" sId="3" numFmtId="4">
    <oc r="D197">
      <v>10</v>
    </oc>
    <nc r="D197">
      <v>17</v>
    </nc>
  </rcc>
  <rcc rId="16496" sId="3" numFmtId="4">
    <oc r="D199">
      <v>18</v>
    </oc>
    <nc r="D199">
      <v>1</v>
    </nc>
  </rcc>
  <rcc rId="16497" sId="3" numFmtId="4">
    <oc r="E199">
      <v>304</v>
    </oc>
    <nc r="E199">
      <v>40</v>
    </nc>
  </rcc>
  <rcc rId="16498" sId="3" numFmtId="4">
    <oc r="E197">
      <f>40+15+15+200+60+15+420+10+6+10</f>
    </oc>
    <nc r="E197">
      <v>420</v>
    </nc>
  </rcc>
  <rcc rId="16499" sId="3" numFmtId="4">
    <oc r="G197">
      <v>791</v>
    </oc>
    <nc r="G197">
      <v>290</v>
    </nc>
  </rcc>
  <rcc rId="16500" sId="3" numFmtId="4">
    <oc r="E222">
      <f>40+4.4+4.4+4.4+4.4+4.4+15+70</f>
    </oc>
    <nc r="E222">
      <v>577</v>
    </nc>
  </rcc>
  <rcc rId="16501" sId="3" numFmtId="4">
    <oc r="E213">
      <f>40+15+250</f>
    </oc>
    <nc r="E213">
      <v>420</v>
    </nc>
  </rcc>
  <rcc rId="16502" sId="3" numFmtId="4">
    <oc r="E208">
      <f>10+200+75+10+15+80+15+80+50+50+70</f>
    </oc>
    <nc r="E208">
      <v>789</v>
    </nc>
  </rcc>
  <rcc rId="16503" sId="3" numFmtId="4">
    <oc r="F208">
      <v>11</v>
    </oc>
    <nc r="F208">
      <v>1</v>
    </nc>
  </rcc>
  <rcc rId="16504" sId="3" numFmtId="4">
    <oc r="G208">
      <v>655</v>
    </oc>
    <nc r="G208">
      <v>54</v>
    </nc>
  </rcc>
  <rcc rId="16505" sId="3" numFmtId="4">
    <oc r="E180">
      <v>10</v>
    </oc>
    <nc r="E180">
      <v>90</v>
    </nc>
  </rcc>
  <rcc rId="16506" sId="3" numFmtId="4">
    <oc r="E181">
      <v>10</v>
    </oc>
    <nc r="E181">
      <v>80</v>
    </nc>
  </rcc>
  <rcc rId="16507" sId="3" numFmtId="4">
    <oc r="E182">
      <v>10</v>
    </oc>
    <nc r="E182">
      <v>70</v>
    </nc>
  </rcc>
  <rcc rId="16508" sId="3" numFmtId="4">
    <oc r="E183">
      <f>10+10</f>
    </oc>
    <nc r="E183">
      <v>120</v>
    </nc>
  </rcc>
  <rcc rId="16509" sId="3" numFmtId="4">
    <oc r="F155">
      <v>11</v>
    </oc>
    <nc r="F155">
      <v>4</v>
    </nc>
  </rcc>
  <rcc rId="16510" sId="3" numFmtId="4">
    <oc r="G155">
      <v>1769.8</v>
    </oc>
    <nc r="G155">
      <v>769</v>
    </nc>
  </rcc>
  <rcc rId="16511" sId="3" numFmtId="4">
    <oc r="E155">
      <f>67.8+15+5+170+30+90+15+630+25+92+630</f>
    </oc>
    <nc r="E155">
      <v>2241</v>
    </nc>
  </rcc>
  <rcc rId="16512" sId="3" numFmtId="4">
    <oc r="G107">
      <v>872</v>
    </oc>
    <nc r="G107">
      <v>320</v>
    </nc>
  </rcc>
  <rcc rId="16513" sId="3" numFmtId="4">
    <oc r="F107">
      <v>8</v>
    </oc>
    <nc r="F107">
      <v>4</v>
    </nc>
  </rcc>
  <rcc rId="16514" sId="3" numFmtId="4">
    <oc r="F108">
      <v>9</v>
    </oc>
    <nc r="F108">
      <v>6</v>
    </nc>
  </rcc>
  <rcc rId="16515" sId="3" numFmtId="4">
    <oc r="F109">
      <v>9</v>
    </oc>
    <nc r="F109">
      <v>6</v>
    </nc>
  </rcc>
  <rcc rId="16516" sId="3" numFmtId="4">
    <oc r="G108">
      <v>376</v>
    </oc>
    <nc r="G108">
      <v>176</v>
    </nc>
  </rcc>
  <rcc rId="16517" sId="3" numFmtId="4">
    <oc r="G109">
      <v>262</v>
    </oc>
    <nc r="G109">
      <v>163</v>
    </nc>
  </rcc>
  <rcc rId="16518" sId="3" numFmtId="4">
    <oc r="G104">
      <f>1486+550</f>
    </oc>
    <nc r="G104">
      <v>1782</v>
    </nc>
  </rcc>
  <rcc rId="16519" sId="3" numFmtId="4">
    <oc r="F104">
      <v>23</v>
    </oc>
    <nc r="F104">
      <v>17</v>
    </nc>
  </rcc>
  <rcc rId="16520" sId="3" numFmtId="4">
    <oc r="G98">
      <f>10+15+86</f>
    </oc>
    <nc r="G98">
      <v>87</v>
    </nc>
  </rcc>
  <rcc rId="16521" sId="3" numFmtId="4">
    <oc r="F197">
      <v>10</v>
    </oc>
    <nc r="F197">
      <v>4</v>
    </nc>
  </rcc>
  <rcc rId="16522" sId="3" numFmtId="4">
    <oc r="E139">
      <f>15+40</f>
    </oc>
    <nc r="E139">
      <v>155</v>
    </nc>
  </rcc>
  <rcc rId="16523" sId="3" numFmtId="4">
    <oc r="E141">
      <v>10</v>
    </oc>
    <nc r="E141">
      <v>120</v>
    </nc>
  </rcc>
  <rcc rId="16524" sId="3" numFmtId="4">
    <oc r="E143">
      <v>10</v>
    </oc>
    <nc r="E143">
      <v>80</v>
    </nc>
  </rcc>
  <rcc rId="16525" sId="3" numFmtId="4">
    <oc r="E105">
      <f>100+15+25+15+80+80</f>
    </oc>
    <nc r="E105">
      <v>554</v>
    </nc>
  </rcc>
  <rcc rId="16526" sId="3" numFmtId="4">
    <oc r="F105">
      <v>6</v>
    </oc>
    <nc r="F105">
      <v>2</v>
    </nc>
  </rcc>
  <rcc rId="16527" sId="3" numFmtId="4">
    <oc r="G105">
      <v>315</v>
    </oc>
    <nc r="G105">
      <v>115</v>
    </nc>
  </rcc>
  <rcc rId="16528" sId="3" numFmtId="4">
    <oc r="F85">
      <v>1</v>
    </oc>
    <nc r="F85"/>
  </rcc>
  <rcc rId="16529" sId="3" numFmtId="4">
    <oc r="G85">
      <v>15</v>
    </oc>
    <nc r="G85"/>
  </rcc>
  <rcc rId="16530" sId="3" numFmtId="4">
    <oc r="F87">
      <v>3</v>
    </oc>
    <nc r="F87"/>
  </rcc>
  <rcc rId="16531" sId="3" numFmtId="4">
    <oc r="G87">
      <v>35</v>
    </oc>
    <nc r="G87"/>
  </rcc>
  <rcc rId="16532" sId="3" numFmtId="4">
    <oc r="F74">
      <v>6</v>
    </oc>
    <nc r="F74">
      <v>3</v>
    </nc>
  </rcc>
  <rcc rId="16533" sId="3" numFmtId="4">
    <oc r="G74">
      <v>280</v>
    </oc>
    <nc r="G74">
      <v>140</v>
    </nc>
  </rcc>
  <rcc rId="16534" sId="3" numFmtId="4">
    <oc r="E74">
      <f>15+15+100+10+100+40</f>
    </oc>
    <nc r="E74">
      <v>480</v>
    </nc>
  </rcc>
  <rcc rId="16535" sId="3" numFmtId="4">
    <oc r="E70">
      <f>15+10+10+6</f>
    </oc>
    <nc r="E70">
      <v>256</v>
    </nc>
  </rcc>
  <rcc rId="16536" sId="3" numFmtId="4">
    <oc r="G67">
      <v>751</v>
    </oc>
    <nc r="G67">
      <v>251</v>
    </nc>
  </rcc>
  <rcc rId="16537" sId="3" numFmtId="4">
    <oc r="F67">
      <v>10</v>
    </oc>
    <nc r="F67">
      <v>6</v>
    </nc>
  </rcc>
  <rcc rId="16538" sId="3" numFmtId="4">
    <oc r="G66">
      <v>535</v>
    </oc>
    <nc r="G66">
      <v>320</v>
    </nc>
  </rcc>
  <rcc rId="16539" sId="3" numFmtId="4">
    <oc r="F66">
      <v>4</v>
    </oc>
    <nc r="F66">
      <v>3</v>
    </nc>
  </rcc>
  <rcc rId="16540" sId="3" numFmtId="4">
    <oc r="E66">
      <f>414+20+95+6</f>
    </oc>
    <nc r="E66">
      <v>671</v>
    </nc>
  </rcc>
  <rcc rId="16541" sId="3">
    <oc r="F59">
      <v>1</v>
    </oc>
    <nc r="F59"/>
  </rcc>
  <rcc rId="16542" sId="3">
    <oc r="G59">
      <v>96</v>
    </oc>
    <nc r="G59"/>
  </rcc>
  <rcc rId="16543" sId="3" numFmtId="4">
    <oc r="G58">
      <v>510</v>
    </oc>
    <nc r="G58">
      <v>210</v>
    </nc>
  </rcc>
  <rcc rId="16544" sId="3" numFmtId="4">
    <oc r="G43">
      <f>180+100+100+43</f>
    </oc>
    <nc r="G43">
      <v>123</v>
    </nc>
  </rcc>
  <rcc rId="16545" sId="3" numFmtId="4">
    <oc r="F43">
      <v>4</v>
    </oc>
    <nc r="F43">
      <v>2</v>
    </nc>
  </rcc>
  <rcc rId="16546" sId="3" numFmtId="4">
    <oc r="F48">
      <v>11</v>
    </oc>
    <nc r="F48">
      <v>8</v>
    </nc>
  </rcc>
  <rcc rId="16547" sId="3" numFmtId="4">
    <oc r="G48">
      <v>918</v>
    </oc>
    <nc r="G48">
      <v>630</v>
    </nc>
  </rcc>
  <rcc rId="16548" sId="3" numFmtId="4">
    <oc r="G51">
      <v>675</v>
    </oc>
    <nc r="G51">
      <v>470</v>
    </nc>
  </rcc>
  <rcc rId="16549" sId="3" numFmtId="4">
    <oc r="F51">
      <v>7</v>
    </oc>
    <nc r="F51">
      <v>5</v>
    </nc>
  </rcc>
  <rcc rId="16550" sId="3" numFmtId="4">
    <oc r="G32">
      <v>1320</v>
    </oc>
    <nc r="G32">
      <v>920</v>
    </nc>
  </rcc>
  <rcc rId="16551" sId="3" numFmtId="4">
    <oc r="F32">
      <v>8</v>
    </oc>
    <nc r="F32">
      <v>6</v>
    </nc>
  </rcc>
  <rcc rId="16552" sId="3" numFmtId="4">
    <oc r="E31">
      <f>60+500</f>
    </oc>
    <nc r="E31">
      <v>860</v>
    </nc>
  </rcc>
  <rcc rId="16553" sId="3" numFmtId="4">
    <oc r="E38">
      <f>155+15+60</f>
    </oc>
    <nc r="E38">
      <v>550</v>
    </nc>
  </rcc>
  <rcc rId="16554" sId="3" numFmtId="4">
    <oc r="E39">
      <f>14+6+10+132</f>
    </oc>
    <nc r="E39">
      <v>621</v>
    </nc>
  </rcc>
  <rcc rId="16555" sId="3" numFmtId="4">
    <oc r="E40">
      <v>60</v>
    </oc>
    <nc r="E40">
      <v>360</v>
    </nc>
  </rcc>
  <rcc rId="16556" sId="3" numFmtId="4">
    <oc r="E27">
      <v>30</v>
    </oc>
    <nc r="E27">
      <v>80</v>
    </nc>
  </rcc>
  <rcc rId="16557" sId="3" numFmtId="4">
    <oc r="F27">
      <v>1</v>
    </oc>
    <nc r="F27"/>
  </rcc>
  <rcc rId="16558" sId="3" numFmtId="4">
    <oc r="G27">
      <v>30</v>
    </oc>
    <nc r="G27"/>
  </rcc>
  <rcc rId="16559" sId="3">
    <oc r="G26">
      <f>80+100+200+750</f>
    </oc>
    <nc r="G26">
      <f>80+750</f>
    </nc>
  </rcc>
  <rcc rId="16560" sId="3" numFmtId="4">
    <oc r="F26">
      <v>11</v>
    </oc>
    <nc r="F26">
      <v>8</v>
    </nc>
  </rcc>
  <rcc rId="16561" sId="3" numFmtId="4">
    <oc r="F222">
      <v>8</v>
    </oc>
    <nc r="F222"/>
  </rcc>
  <rcc rId="16562" sId="3" numFmtId="4">
    <oc r="G222">
      <v>147</v>
    </oc>
    <nc r="G222"/>
  </rcc>
  <rcc rId="16563" sId="3" numFmtId="4">
    <oc r="F214">
      <v>4</v>
    </oc>
    <nc r="F214"/>
  </rcc>
  <rcc rId="16564" sId="3">
    <oc r="G214">
      <f>10+10+4.4+4.4</f>
    </oc>
    <nc r="G214"/>
  </rcc>
  <rcc rId="16565" sId="3" numFmtId="4">
    <oc r="F199">
      <v>15</v>
    </oc>
    <nc r="F199"/>
  </rcc>
  <rcc rId="16566" sId="3" numFmtId="4">
    <oc r="G199">
      <v>200</v>
    </oc>
    <nc r="G199"/>
  </rcc>
  <rcc rId="16567" sId="3" numFmtId="4">
    <oc r="F201">
      <v>3</v>
    </oc>
    <nc r="F201"/>
  </rcc>
  <rcc rId="16568" sId="3" numFmtId="4">
    <oc r="G201">
      <v>35</v>
    </oc>
    <nc r="G201"/>
  </rcc>
  <rcc rId="16569" sId="3" numFmtId="4">
    <oc r="G178">
      <v>270</v>
    </oc>
    <nc r="G178">
      <v>70</v>
    </nc>
  </rcc>
  <rcc rId="16570" sId="3" numFmtId="4">
    <oc r="F178">
      <v>6</v>
    </oc>
    <nc r="F178">
      <v>1</v>
    </nc>
  </rcc>
  <rcc rId="16571" sId="3" numFmtId="4">
    <oc r="F170">
      <v>2</v>
    </oc>
    <nc r="F170"/>
  </rcc>
  <rcc rId="16572" sId="3" numFmtId="4">
    <oc r="G170">
      <v>80</v>
    </oc>
    <nc r="G170"/>
  </rcc>
  <rcc rId="16573" sId="3" numFmtId="4">
    <oc r="F169">
      <v>3</v>
    </oc>
    <nc r="F169"/>
  </rcc>
  <rcc rId="16574" sId="3" numFmtId="4">
    <oc r="G169">
      <v>81</v>
    </oc>
    <nc r="G169"/>
  </rcc>
  <rcc rId="16575" sId="3" numFmtId="4">
    <oc r="F167">
      <v>1</v>
    </oc>
    <nc r="F167">
      <v>2</v>
    </nc>
  </rcc>
  <rcc rId="16576" sId="3" numFmtId="4">
    <oc r="G167">
      <f>120</f>
    </oc>
    <nc r="G167">
      <v>45</v>
    </nc>
  </rcc>
  <rcc rId="16577" sId="3" numFmtId="4">
    <oc r="F163">
      <v>1</v>
    </oc>
    <nc r="F163"/>
  </rcc>
  <rcc rId="16578" sId="3" numFmtId="4">
    <oc r="G163">
      <v>400</v>
    </oc>
    <nc r="G163"/>
  </rcc>
  <rcc rId="16579" sId="3" numFmtId="4">
    <oc r="F148">
      <v>1</v>
    </oc>
    <nc r="F148"/>
  </rcc>
  <rcc rId="16580" sId="3" numFmtId="4">
    <oc r="G148">
      <v>10</v>
    </oc>
    <nc r="G148"/>
  </rcc>
  <rcc rId="16581" sId="3" numFmtId="4">
    <oc r="F143">
      <v>1</v>
    </oc>
    <nc r="F143"/>
  </rcc>
  <rcc rId="16582" sId="3" numFmtId="4">
    <oc r="G143">
      <v>10</v>
    </oc>
    <nc r="G143"/>
  </rcc>
  <rcc rId="16583" sId="3" numFmtId="4">
    <oc r="F139">
      <v>2</v>
    </oc>
    <nc r="F139">
      <v>1</v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'сентябрь 2014г'!$C$21:$C$246</formula>
    <oldFormula>'сентябрь 2014г'!$C$21:$C$246</oldFormula>
  </rdn>
  <rdn rId="0" localSheetId="3" customView="1" name="Z_A743F9C7_8B89_4E8F_B91F_1FFB859064F2_.wvu.Rows" hidden="1" oldHidden="1">
    <formula>'сентябрь 2014г. по 6-10'!$2:$12</formula>
    <oldFormula>'сентябрь 2014г. по 6-10'!$2:$12</oldFormula>
  </rdn>
  <rdn rId="0" localSheetId="3" customView="1" name="Z_A743F9C7_8B89_4E8F_B91F_1FFB859064F2_.wvu.FilterData" hidden="1" oldHidden="1">
    <formula>'сентябрь 2014г. по 6-10'!$C$21:$C$130</formula>
    <oldFormula>'сентябрь 2014г. по 6-10'!$C$21:$C$130</oldFormula>
  </rdn>
  <rdn rId="0" localSheetId="4" customView="1" name="Z_A743F9C7_8B89_4E8F_B91F_1FFB859064F2_.wvu.Rows" hidden="1" oldHidden="1">
    <formula>'сентябрь 2014г. по 0,4'!$2:$12</formula>
    <oldFormula>'сентябрь 2014г. по 0,4'!$2:$12</oldFormula>
  </rdn>
  <rdn rId="0" localSheetId="4" customView="1" name="Z_A743F9C7_8B89_4E8F_B91F_1FFB859064F2_.wvu.FilterData" hidden="1" oldHidden="1">
    <formula>'сентябрь 2014г. по 0,4'!$C$18:$C$127</formula>
    <oldFormula>'сентябрь 2014г. по 0,4'!$C$18:$C$127</oldFormula>
  </rdn>
  <rcv guid="{A743F9C7-8B89-4E8F-B91F-1FFB859064F2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16096" sId="4" numFmtId="4">
    <oc r="D166">
      <v>5</v>
    </oc>
    <nc r="D166">
      <v>8</v>
    </nc>
  </rcc>
  <rcc rId="16097" sId="4">
    <oc r="E166">
      <f>5+15+8+8+10</f>
    </oc>
    <nc r="E166">
      <f>5+15+8+8+10+8+8+8</f>
    </nc>
  </rcc>
  <rcc rId="16098" sId="4" numFmtId="4">
    <oc r="F166">
      <v>5</v>
    </oc>
    <nc r="F166">
      <v>8</v>
    </nc>
  </rcc>
  <rcc rId="16099" sId="4" numFmtId="4">
    <oc r="G166">
      <v>46</v>
    </oc>
    <nc r="G166">
      <v>70</v>
    </nc>
  </rcc>
  <rcc rId="16100" sId="4" numFmtId="4">
    <oc r="D208">
      <v>4</v>
    </oc>
    <nc r="D208">
      <v>5</v>
    </nc>
  </rcc>
  <rcc rId="16101" sId="4">
    <oc r="E208">
      <f>13+15+13+8</f>
    </oc>
    <nc r="E208">
      <f>13+15+13+8+6</f>
    </nc>
  </rcc>
  <rcc rId="16102" sId="4" numFmtId="4">
    <oc r="F208">
      <v>4</v>
    </oc>
    <nc r="F208">
      <v>5</v>
    </nc>
  </rcc>
  <rcc rId="16103" sId="4" numFmtId="4">
    <oc r="G208">
      <v>49</v>
    </oc>
    <nc r="G208">
      <v>55</v>
    </nc>
  </rcc>
  <rcc rId="16104" sId="4" numFmtId="4">
    <oc r="D205">
      <v>17</v>
    </oc>
    <nc r="D205">
      <v>18</v>
    </nc>
  </rcc>
  <rcc rId="16105" sId="4">
    <oc r="E205">
      <f>5+7.4+10+25+5+10+15+3+10+5+7.5+15+5+15+5+10+15</f>
    </oc>
    <nc r="E205">
      <f>5+7.4+10+25+5+10+15+3+10+5+7.5+15+5+15+5+10+15+5</f>
    </nc>
  </rcc>
  <rcc rId="16106" sId="4" numFmtId="4">
    <oc r="F205">
      <v>17</v>
    </oc>
    <nc r="F205">
      <v>18</v>
    </nc>
  </rcc>
  <rcc rId="16107" sId="4" numFmtId="4">
    <oc r="G205">
      <v>167.9</v>
    </oc>
    <nc r="G205">
      <v>172.9</v>
    </nc>
  </rcc>
  <rcc rId="16108" sId="4" numFmtId="4">
    <oc r="D122">
      <v>4</v>
    </oc>
    <nc r="D122">
      <v>5</v>
    </nc>
  </rcc>
  <rcc rId="16109" sId="4">
    <oc r="E122">
      <f>8+10+1.8+14</f>
    </oc>
    <nc r="E122">
      <f>8+10+1.8+14+8</f>
    </nc>
  </rcc>
  <rcc rId="16110" sId="4" numFmtId="4">
    <oc r="F122">
      <v>4</v>
    </oc>
    <nc r="F122">
      <v>5</v>
    </nc>
  </rcc>
  <rcc rId="16111" sId="4" numFmtId="4">
    <oc r="G122">
      <v>33.799999999999997</v>
    </oc>
    <nc r="G122">
      <v>41.8</v>
    </nc>
  </rcc>
  <rcc rId="16112" sId="4" numFmtId="4">
    <oc r="D108">
      <v>27</v>
    </oc>
    <nc r="D108">
      <v>28</v>
    </nc>
  </rcc>
  <rcc rId="16113" sId="4">
    <oc r="E108">
      <f>50+10+5+5+5+10+5+10+13+5+7+10+5+5+5+5+11+5+15+5+7+7+5+14+5+5+15</f>
    </oc>
    <nc r="E108">
      <f>50+10+5+5+5+10+5+10+13+5+7+10+5+5+5+5+11+5+15+5+7+7+5+14+5+5+15+5.5</f>
    </nc>
  </rcc>
  <rcc rId="16114" sId="4" numFmtId="4">
    <oc r="F108">
      <v>27</v>
    </oc>
    <nc r="F108">
      <v>28</v>
    </nc>
  </rcc>
  <rcc rId="16115" sId="4" numFmtId="4">
    <oc r="G108">
      <v>249</v>
    </oc>
    <nc r="G108">
      <v>254.5</v>
    </nc>
  </rcc>
  <rcc rId="16116" sId="4" numFmtId="4">
    <oc r="D109">
      <v>9</v>
    </oc>
    <nc r="D109">
      <v>11</v>
    </nc>
  </rcc>
  <rcc rId="16117" sId="4">
    <oc r="E109">
      <f>6+4+5+5+3+7+7+5+7</f>
    </oc>
    <nc r="E109">
      <f>6+4+5+5+3+7+7+5+7+5+7</f>
    </nc>
  </rcc>
  <rcc rId="16118" sId="4" numFmtId="4">
    <oc r="F109">
      <v>9</v>
    </oc>
    <nc r="F109">
      <v>11</v>
    </nc>
  </rcc>
  <rcc rId="16119" sId="4" numFmtId="4">
    <oc r="G109">
      <v>49</v>
    </oc>
    <nc r="G109">
      <v>61</v>
    </nc>
  </rcc>
  <rcc rId="16120" sId="4" numFmtId="4">
    <nc r="D149">
      <v>1</v>
    </nc>
  </rcc>
  <rcc rId="16121" sId="4" numFmtId="4">
    <nc r="E149">
      <v>5</v>
    </nc>
  </rcc>
  <rcc rId="16122" sId="4" numFmtId="4">
    <nc r="F149">
      <v>1</v>
    </nc>
  </rcc>
  <rcc rId="16123" sId="4" numFmtId="4">
    <nc r="G149">
      <v>5</v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'сентябрь 2014г'!$C$21:$C$246</formula>
    <oldFormula>'сентябрь 2014г'!$C$21:$C$246</oldFormula>
  </rdn>
  <rdn rId="0" localSheetId="3" customView="1" name="Z_A743F9C7_8B89_4E8F_B91F_1FFB859064F2_.wvu.Rows" hidden="1" oldHidden="1">
    <formula>'сентябрь 2014г. по 6-10'!$2:$12</formula>
    <oldFormula>'сентябрь 2014г. по 6-10'!$2:$12</oldFormula>
  </rdn>
  <rdn rId="0" localSheetId="3" customView="1" name="Z_A743F9C7_8B89_4E8F_B91F_1FFB859064F2_.wvu.FilterData" hidden="1" oldHidden="1">
    <formula>'сентябрь 2014г. по 6-10'!$C$21:$C$130</formula>
    <oldFormula>'сентябрь 2014г. по 6-10'!$C$21:$C$130</oldFormula>
  </rdn>
  <rdn rId="0" localSheetId="4" customView="1" name="Z_A743F9C7_8B89_4E8F_B91F_1FFB859064F2_.wvu.Rows" hidden="1" oldHidden="1">
    <formula>'сентябрь 2014г. по 0,4'!$2:$12</formula>
    <oldFormula>'сентябрь 2014г. по 0,4'!$2:$12</oldFormula>
  </rdn>
  <rdn rId="0" localSheetId="4" customView="1" name="Z_A743F9C7_8B89_4E8F_B91F_1FFB859064F2_.wvu.FilterData" hidden="1" oldHidden="1">
    <formula>'сентябрь 2014г. по 0,4'!$C$18:$C$127</formula>
    <oldFormula>'сентябрь 2014г. по 0,4'!$C$18:$C$127</oldFormula>
  </rdn>
  <rcv guid="{A743F9C7-8B89-4E8F-B91F-1FFB859064F2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15841" sId="4" numFmtId="4">
    <oc r="D221">
      <v>9</v>
    </oc>
    <nc r="D221">
      <v>10</v>
    </nc>
  </rcc>
  <rcc rId="15842" sId="4">
    <oc r="E221">
      <f>10+8+2+10+8+8+6+8+15</f>
    </oc>
    <nc r="E221">
      <f>10+8+2+10+8+8+6+8+15+15</f>
    </nc>
  </rcc>
  <rcc rId="15843" sId="4" numFmtId="4">
    <oc r="F221">
      <v>9</v>
    </oc>
    <nc r="F221">
      <v>10</v>
    </nc>
  </rcc>
  <rcc rId="15844" sId="4" numFmtId="4">
    <oc r="G221">
      <v>75</v>
    </oc>
    <nc r="G221">
      <v>90</v>
    </nc>
  </rcc>
  <rcc rId="15845" sId="4" numFmtId="4">
    <oc r="D127">
      <v>6</v>
    </oc>
    <nc r="D127">
      <v>7</v>
    </nc>
  </rcc>
  <rcc rId="15846" sId="4">
    <oc r="E127">
      <f>3+5+10+10+7+10</f>
    </oc>
    <nc r="E127">
      <f>3+5+10+10+7+10+5.5</f>
    </nc>
  </rcc>
  <rcc rId="15847" sId="4" numFmtId="4">
    <oc r="F127">
      <v>6</v>
    </oc>
    <nc r="F127">
      <v>7</v>
    </nc>
  </rcc>
  <rcc rId="15848" sId="4" numFmtId="4">
    <oc r="G127">
      <v>45</v>
    </oc>
    <nc r="G127">
      <v>50.5</v>
    </nc>
  </rcc>
  <rcc rId="15849" sId="4" numFmtId="4">
    <oc r="D71">
      <v>6</v>
    </oc>
    <nc r="D71">
      <v>7</v>
    </nc>
  </rcc>
  <rcc rId="15850" sId="4">
    <oc r="E71">
      <f>5+15+10+10+15+10</f>
    </oc>
    <nc r="E71">
      <f>5+15+10+10+15+10+5</f>
    </nc>
  </rcc>
  <rcc rId="15851" sId="4" numFmtId="4">
    <oc r="F71">
      <v>6</v>
    </oc>
    <nc r="F71">
      <v>7</v>
    </nc>
  </rcc>
  <rcc rId="15852" sId="4" numFmtId="4">
    <oc r="G71">
      <v>65</v>
    </oc>
    <nc r="G71">
      <v>70</v>
    </nc>
  </rcc>
  <rcc rId="15853" sId="4" numFmtId="4">
    <oc r="D63">
      <v>54</v>
    </oc>
    <nc r="D63">
      <v>55</v>
    </nc>
  </rcc>
  <rcc rId="15854" sId="4">
    <oc r="E63">
      <f>10+7+12+8+15+15+4+12+8+8+7+12+7+15+6+6+8+7+5+15+10+3+15+10+10+5+5+15+5+20+14+15+15+10+15+10+15+3+6+6+8+3+10+8+15+25+6+5+15+10+25+15+15+15</f>
    </oc>
    <nc r="E63">
      <f>10+7+12+8+15+15+4+12+8+8+7+12+7+15+6+6+8+7+5+15+10+3+15+10+10+5+5+15+5+20+14+15+15+10+15+10+15+3+6+6+8+3+10+8+15+25+6+5+15+10+25+15+15+15+25</f>
    </nc>
  </rcc>
  <rcc rId="15855" sId="4" numFmtId="4">
    <oc r="F63">
      <v>54</v>
    </oc>
    <nc r="F63">
      <v>55</v>
    </nc>
  </rcc>
  <rcc rId="15856" sId="4" numFmtId="4">
    <oc r="G63">
      <v>569</v>
    </oc>
    <nc r="G63">
      <v>594</v>
    </nc>
  </rcc>
  <rcc rId="15857" sId="4" numFmtId="4">
    <nc r="D57">
      <v>1</v>
    </nc>
  </rcc>
  <rcc rId="15858" sId="4" numFmtId="4">
    <nc r="E57">
      <v>15</v>
    </nc>
  </rcc>
  <rcc rId="15859" sId="4" numFmtId="4">
    <nc r="F57">
      <v>1</v>
    </nc>
  </rcc>
  <rcc rId="15860" sId="4" numFmtId="4">
    <nc r="G57">
      <v>15</v>
    </nc>
  </rcc>
  <rcc rId="15861" sId="4" numFmtId="4">
    <oc r="D153">
      <v>3</v>
    </oc>
    <nc r="D153">
      <v>4</v>
    </nc>
  </rcc>
  <rcc rId="15862" sId="4">
    <oc r="E153">
      <f>10+15+10</f>
    </oc>
    <nc r="E153">
      <f>10+15+10+3</f>
    </nc>
  </rcc>
  <rcc rId="15863" sId="4" numFmtId="4">
    <oc r="F153">
      <v>3</v>
    </oc>
    <nc r="F153">
      <v>4</v>
    </nc>
  </rcc>
  <rcc rId="15864" sId="4" numFmtId="4">
    <oc r="G153">
      <v>25</v>
    </oc>
    <nc r="G153">
      <v>38</v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'август 2014г'!$C$21:$C$246</formula>
    <oldFormula>'август 2014г'!$C$21:$C$246</oldFormula>
  </rdn>
  <rdn rId="0" localSheetId="3" customView="1" name="Z_A743F9C7_8B89_4E8F_B91F_1FFB859064F2_.wvu.Rows" hidden="1" oldHidden="1">
    <formula>'август 2014г. по 6-10'!$2:$12</formula>
    <oldFormula>'август 2014г. по 6-10'!$2:$12</oldFormula>
  </rdn>
  <rdn rId="0" localSheetId="3" customView="1" name="Z_A743F9C7_8B89_4E8F_B91F_1FFB859064F2_.wvu.FilterData" hidden="1" oldHidden="1">
    <formula>'август 2014г. по 6-10'!$C$21:$C$130</formula>
    <oldFormula>'август 2014г. по 6-10'!$C$21:$C$130</oldFormula>
  </rdn>
  <rdn rId="0" localSheetId="4" customView="1" name="Z_A743F9C7_8B89_4E8F_B91F_1FFB859064F2_.wvu.Rows" hidden="1" oldHidden="1">
    <formula>'август 2014г. по 0,4'!$2:$12</formula>
    <oldFormula>'август 2014г. по 0,4'!$2:$12</oldFormula>
  </rdn>
  <rdn rId="0" localSheetId="4" customView="1" name="Z_A743F9C7_8B89_4E8F_B91F_1FFB859064F2_.wvu.FilterData" hidden="1" oldHidden="1">
    <formula>'август 2014г. по 0,4'!$C$18:$C$127</formula>
    <oldFormula>'август 2014г. по 0,4'!$C$18:$C$127</oldFormula>
  </rdn>
  <rcv guid="{A743F9C7-8B89-4E8F-B91F-1FFB859064F2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c rId="15819" sId="3" numFmtId="4">
    <oc r="D32">
      <v>6</v>
    </oc>
    <nc r="D32">
      <v>7</v>
    </nc>
  </rcc>
  <rcc rId="15820" sId="3">
    <oc r="E32">
      <f>10+100+300+80+10+300</f>
    </oc>
    <nc r="E32">
      <f>10+100+300+80+10+300+40</f>
    </nc>
  </rcc>
  <rcc rId="15821" sId="3" numFmtId="4">
    <oc r="F32">
      <v>6</v>
    </oc>
    <nc r="F32">
      <v>7</v>
    </nc>
  </rcc>
  <rcc rId="15822" sId="3" numFmtId="4">
    <oc r="G32">
      <v>800</v>
    </oc>
    <nc r="G32">
      <v>840</v>
    </nc>
  </rcc>
  <rcc rId="15823" sId="3" numFmtId="4">
    <nc r="D83">
      <v>1</v>
    </nc>
  </rcc>
  <rcc rId="15824" sId="3" numFmtId="4">
    <nc r="E83">
      <v>3</v>
    </nc>
  </rcc>
  <rcc rId="15825" sId="3" numFmtId="4">
    <nc r="F83">
      <v>1</v>
    </nc>
  </rcc>
  <rcc rId="15826" sId="3" numFmtId="4">
    <nc r="G83">
      <v>3</v>
    </nc>
  </rcc>
  <rcc rId="15827" sId="3">
    <oc r="D49">
      <v>1</v>
    </oc>
    <nc r="D49">
      <v>2</v>
    </nc>
  </rcc>
  <rcc rId="15828" sId="3">
    <oc r="E49">
      <v>150</v>
    </oc>
    <nc r="E49">
      <f>150+50</f>
    </nc>
  </rcc>
  <rcc rId="15829" sId="3">
    <oc r="F49">
      <v>1</v>
    </oc>
    <nc r="F49">
      <v>2</v>
    </nc>
  </rcc>
  <rcc rId="15830" sId="3">
    <oc r="G49">
      <v>150</v>
    </oc>
    <nc r="G49">
      <v>200</v>
    </nc>
  </rcc>
  <rcc rId="15831" sId="3" numFmtId="4">
    <oc r="D155">
      <v>8</v>
    </oc>
    <nc r="D155">
      <v>10</v>
    </nc>
  </rcc>
  <rcc rId="15832" sId="3">
    <oc r="E155">
      <f>67.8+15+5+170+30+90+630+25</f>
    </oc>
    <nc r="E155">
      <f>67.8+15+5+170+30+90+630+25+92+630</f>
    </nc>
  </rcc>
  <rcc rId="15833" sId="3" numFmtId="4">
    <oc r="F155">
      <v>8</v>
    </oc>
    <nc r="F155">
      <v>10</v>
    </nc>
  </rcc>
  <rcc rId="15834" sId="3" numFmtId="4">
    <oc r="G155">
      <v>1032.8</v>
    </oc>
    <nc r="G155">
      <v>1754.8</v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'август 2014г'!$C$21:$C$246</formula>
    <oldFormula>'август 2014г'!$C$21:$C$246</oldFormula>
  </rdn>
  <rdn rId="0" localSheetId="3" customView="1" name="Z_A743F9C7_8B89_4E8F_B91F_1FFB859064F2_.wvu.Rows" hidden="1" oldHidden="1">
    <formula>'август 2014г. по 6-10'!$2:$12</formula>
    <oldFormula>'август 2014г. по 6-10'!$2:$12</oldFormula>
  </rdn>
  <rdn rId="0" localSheetId="3" customView="1" name="Z_A743F9C7_8B89_4E8F_B91F_1FFB859064F2_.wvu.FilterData" hidden="1" oldHidden="1">
    <formula>'август 2014г. по 6-10'!$C$21:$C$130</formula>
    <oldFormula>'август 2014г. по 6-10'!$C$21:$C$130</oldFormula>
  </rdn>
  <rdn rId="0" localSheetId="4" customView="1" name="Z_A743F9C7_8B89_4E8F_B91F_1FFB859064F2_.wvu.Rows" hidden="1" oldHidden="1">
    <formula>'август 2014г. по 0,4'!$2:$12</formula>
    <oldFormula>'август 2014г. по 0,4'!$2:$12</oldFormula>
  </rdn>
  <rdn rId="0" localSheetId="4" customView="1" name="Z_A743F9C7_8B89_4E8F_B91F_1FFB859064F2_.wvu.FilterData" hidden="1" oldHidden="1">
    <formula>'август 2014г. по 0,4'!$C$18:$C$127</formula>
    <oldFormula>'август 2014г. по 0,4'!$C$18:$C$127</oldFormula>
  </rdn>
  <rcv guid="{A743F9C7-8B89-4E8F-B91F-1FFB859064F2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'сентябрь 2014г'!$C$21:$C$246</formula>
    <oldFormula>'сентябрь 2014г'!$C$21:$C$246</oldFormula>
  </rdn>
  <rdn rId="0" localSheetId="3" customView="1" name="Z_A743F9C7_8B89_4E8F_B91F_1FFB859064F2_.wvu.Rows" hidden="1" oldHidden="1">
    <formula>'сентябрь 2014г. по 6-10'!$2:$12</formula>
    <oldFormula>'сентябрь 2014г. по 6-10'!$2:$12</oldFormula>
  </rdn>
  <rdn rId="0" localSheetId="3" customView="1" name="Z_A743F9C7_8B89_4E8F_B91F_1FFB859064F2_.wvu.FilterData" hidden="1" oldHidden="1">
    <formula>'сентябрь 2014г. по 6-10'!$C$21:$C$130</formula>
    <oldFormula>'сентябрь 2014г. по 6-10'!$C$21:$C$130</oldFormula>
  </rdn>
  <rdn rId="0" localSheetId="4" customView="1" name="Z_A743F9C7_8B89_4E8F_B91F_1FFB859064F2_.wvu.Rows" hidden="1" oldHidden="1">
    <formula>'сентябрь 2014г. по 0,4'!$2:$12</formula>
    <oldFormula>'сентябрь 2014г. по 0,4'!$2:$12</oldFormula>
  </rdn>
  <rdn rId="0" localSheetId="4" customView="1" name="Z_A743F9C7_8B89_4E8F_B91F_1FFB859064F2_.wvu.FilterData" hidden="1" oldHidden="1">
    <formula>'сентябрь 2014г. по 0,4'!$C$18:$C$127</formula>
    <oldFormula>'сентябрь 2014г. по 0,4'!$C$18:$C$127</oldFormula>
  </rdn>
  <rcv guid="{A743F9C7-8B89-4E8F-B91F-1FFB859064F2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16190" sId="4" numFmtId="4">
    <oc r="D145">
      <v>3</v>
    </oc>
    <nc r="D145">
      <v>4</v>
    </nc>
  </rcc>
  <rcc rId="16191" sId="4">
    <oc r="E145">
      <f>5+6+4</f>
    </oc>
    <nc r="E145">
      <f>5+6+4+8</f>
    </nc>
  </rcc>
  <rcc rId="16192" sId="4" numFmtId="4">
    <oc r="F145">
      <v>3</v>
    </oc>
    <nc r="F145">
      <v>4</v>
    </nc>
  </rcc>
  <rcc rId="16193" sId="4" numFmtId="4">
    <oc r="G145">
      <v>15</v>
    </oc>
    <nc r="G145">
      <v>23</v>
    </nc>
  </rcc>
  <rcc rId="16194" sId="4" numFmtId="4">
    <oc r="D115">
      <v>3</v>
    </oc>
    <nc r="D115">
      <v>4</v>
    </nc>
  </rcc>
  <rcc rId="16195" sId="4">
    <oc r="E115">
      <f>4+10+12</f>
    </oc>
    <nc r="E115">
      <f>4+10+12+10</f>
    </nc>
  </rcc>
  <rcc rId="16196" sId="4" numFmtId="4">
    <oc r="F115">
      <v>3</v>
    </oc>
    <nc r="F115">
      <v>4</v>
    </nc>
  </rcc>
  <rcc rId="16197" sId="4" numFmtId="4">
    <oc r="G115">
      <v>26</v>
    </oc>
    <nc r="G115">
      <v>36</v>
    </nc>
  </rcc>
  <rcc rId="16198" sId="4" numFmtId="4">
    <oc r="D153">
      <v>4</v>
    </oc>
    <nc r="D153">
      <v>5</v>
    </nc>
  </rcc>
  <rcc rId="16199" sId="4">
    <oc r="E153">
      <f>10+15+10+3</f>
    </oc>
    <nc r="E153">
      <f>10+15+10+3+5</f>
    </nc>
  </rcc>
  <rcc rId="16200" sId="4" numFmtId="4">
    <oc r="F153">
      <v>4</v>
    </oc>
    <nc r="F153">
      <v>5</v>
    </nc>
  </rcc>
  <rcc rId="16201" sId="4" numFmtId="4">
    <oc r="G153">
      <v>38</v>
    </oc>
    <nc r="G153">
      <v>43</v>
    </nc>
  </rcc>
  <rcc rId="16202" sId="4" numFmtId="4">
    <oc r="D152">
      <v>12</v>
    </oc>
    <nc r="D152">
      <v>16</v>
    </nc>
  </rcc>
  <rcc rId="16203" sId="4">
    <oc r="E152">
      <f>5+4+10+5+5+15+5+6+5+6+6+5</f>
    </oc>
    <nc r="E152">
      <f>5+4+10+5+5+15+5+6+5+6+6+5+3+10+15+15</f>
    </nc>
  </rcc>
  <rcc rId="16204" sId="4" numFmtId="4">
    <oc r="F152">
      <v>12</v>
    </oc>
    <nc r="F152">
      <v>16</v>
    </nc>
  </rcc>
  <rcc rId="16205" sId="4" numFmtId="4">
    <oc r="G152">
      <v>77</v>
    </oc>
    <nc r="G152">
      <v>120</v>
    </nc>
  </rcc>
  <rcc rId="16206" sId="4" numFmtId="4">
    <nc r="D155">
      <v>1</v>
    </nc>
  </rcc>
  <rcc rId="16207" sId="4" numFmtId="4">
    <nc r="E155">
      <v>15</v>
    </nc>
  </rcc>
  <rcc rId="16208" sId="4" numFmtId="4">
    <nc r="F155">
      <v>1</v>
    </nc>
  </rcc>
  <rcc rId="16209" sId="4" numFmtId="4">
    <nc r="G155">
      <v>15</v>
    </nc>
  </rcc>
  <rcc rId="16210" sId="4" numFmtId="4">
    <oc r="D209">
      <v>1</v>
    </oc>
    <nc r="D209">
      <v>2</v>
    </nc>
  </rcc>
  <rcc rId="16211" sId="4" numFmtId="4">
    <oc r="E209">
      <v>10</v>
    </oc>
    <nc r="E209">
      <f>10+15</f>
    </nc>
  </rcc>
  <rcc rId="16212" sId="4" numFmtId="4">
    <oc r="F209">
      <v>1</v>
    </oc>
    <nc r="F209">
      <v>2</v>
    </nc>
  </rcc>
  <rcc rId="16213" sId="4" numFmtId="4">
    <oc r="G209">
      <v>10</v>
    </oc>
    <nc r="G209">
      <v>25</v>
    </nc>
  </rcc>
  <rcc rId="16214" sId="4" numFmtId="4">
    <oc r="D146">
      <v>2</v>
    </oc>
    <nc r="D146">
      <v>3</v>
    </nc>
  </rcc>
  <rcc rId="16215" sId="4">
    <oc r="E146">
      <f>3+3</f>
    </oc>
    <nc r="E146">
      <f>3+3+2.5</f>
    </nc>
  </rcc>
  <rcc rId="16216" sId="4" numFmtId="4">
    <oc r="F146">
      <v>2</v>
    </oc>
    <nc r="F146">
      <v>3</v>
    </nc>
  </rcc>
  <rcc rId="16217" sId="4" numFmtId="4">
    <oc r="G146">
      <f>3+3</f>
    </oc>
    <nc r="G146">
      <v>8.5</v>
    </nc>
  </rcc>
  <rcc rId="16218" sId="4" numFmtId="4">
    <oc r="D40">
      <v>4</v>
    </oc>
    <nc r="D40">
      <v>6</v>
    </nc>
  </rcc>
  <rcc rId="16219" sId="4">
    <oc r="E40">
      <f>10+10+5+11</f>
    </oc>
    <nc r="E40">
      <f>10+10+5+11+10+120</f>
    </nc>
  </rcc>
  <rcc rId="16220" sId="4" numFmtId="4">
    <oc r="F40">
      <v>4</v>
    </oc>
    <nc r="F40">
      <v>6</v>
    </nc>
  </rcc>
  <rcc rId="16221" sId="4" numFmtId="4">
    <oc r="G40">
      <f>10+10+5+11</f>
    </oc>
    <nc r="G40">
      <v>166</v>
    </nc>
  </rcc>
  <rcc rId="16222" sId="4" numFmtId="4">
    <oc r="D102">
      <v>15</v>
    </oc>
    <nc r="D102">
      <v>16</v>
    </nc>
  </rcc>
  <rcc rId="16223" sId="4">
    <oc r="E102">
      <f>12+12+5+8+50+14+30+12+8+12+5+3+13+10+5</f>
    </oc>
    <nc r="E102">
      <f>12+12+5+8+50+14+30+12+8+12+5+3+13+10+5+10</f>
    </nc>
  </rcc>
  <rcc rId="16224" sId="4" numFmtId="4">
    <oc r="F102">
      <v>15</v>
    </oc>
    <nc r="F102">
      <v>16</v>
    </nc>
  </rcc>
  <rcc rId="16225" sId="4" numFmtId="4">
    <oc r="G102">
      <v>199</v>
    </oc>
    <nc r="G102">
      <v>209</v>
    </nc>
  </rcc>
  <rcc rId="16226" sId="4" numFmtId="4">
    <oc r="D101">
      <v>22</v>
    </oc>
    <nc r="D101">
      <v>25</v>
    </nc>
  </rcc>
  <rcc rId="16227" sId="4">
    <oc r="E101">
      <f>4+5+13+8+160+10+5+14+10+3+5+6+8+3+10+10+12+6+6+5+3+5</f>
    </oc>
    <nc r="E101">
      <f>4+5+13+8+160+10+5+14+10+3+5+6+8+3+10+10+12+6+6+5+3+5+10+10+10</f>
    </nc>
  </rcc>
  <rcc rId="16228" sId="4" numFmtId="4">
    <oc r="F101">
      <v>22</v>
    </oc>
    <nc r="F101">
      <v>25</v>
    </nc>
  </rcc>
  <rcc rId="16229" sId="4" numFmtId="4">
    <oc r="G101">
      <v>311</v>
    </oc>
    <nc r="G101">
      <v>341</v>
    </nc>
  </rcc>
  <rcc rId="16230" sId="4" numFmtId="4">
    <oc r="D144">
      <v>15</v>
    </oc>
    <nc r="D144">
      <v>17</v>
    </nc>
  </rcc>
  <rcc rId="16231" sId="4">
    <oc r="E144">
      <f>2+4.2+13+2.5+5+2.5+2.5+2.5+3+4+2+1.5+13+3+5</f>
    </oc>
    <nc r="E144">
      <f>2+4.2+13+2.5+5+2.5+2.5+2.5+3+4+2+1.5+13+3+5+3.5+5.5</f>
    </nc>
  </rcc>
  <rcc rId="16232" sId="4" numFmtId="4">
    <oc r="F144">
      <v>14</v>
    </oc>
    <nc r="F144">
      <v>17</v>
    </nc>
  </rcc>
  <rcc rId="16233" sId="4" numFmtId="4">
    <oc r="G144">
      <v>60.7</v>
    </oc>
    <nc r="G144">
      <v>74.7</v>
    </nc>
  </rcc>
  <rcc rId="16234" sId="4" numFmtId="4">
    <oc r="D37">
      <v>16</v>
    </oc>
    <nc r="D37">
      <v>18</v>
    </nc>
  </rcc>
  <rcc rId="16235" sId="4">
    <oc r="E37">
      <f>10+10+15+6+2+4+3+2+2.5+3+5+10+15+15+3+15</f>
    </oc>
    <nc r="E37">
      <f>10+10+15+6+2+4+3+2+2.5+3+5+10+15+15+3+15+15+15</f>
    </nc>
  </rcc>
  <rcc rId="16236" sId="4" numFmtId="4">
    <oc r="F37">
      <v>16</v>
    </oc>
    <nc r="F37">
      <v>18</v>
    </nc>
  </rcc>
  <rcc rId="16237" sId="4" numFmtId="4">
    <oc r="G37">
      <v>120.5</v>
    </oc>
    <nc r="G37">
      <v>150.5</v>
    </nc>
  </rcc>
  <rcc rId="16238" sId="4" numFmtId="4">
    <oc r="D36">
      <v>67</v>
    </oc>
    <nc r="D36">
      <v>70</v>
    </nc>
  </rcc>
  <rcc rId="16239" sId="4">
    <oc r="E36">
      <f>5+6+5+2+5+10+3+5+2+14+5+6+2+6+5+3+2.5+10+1+2+3+2+1.5+14+2.5+2+3+3+5+14.5+5+5+15+15+10+10+15+4+3.5+7+2+20+5+15+2+8+7+10+6+5+8+15+11.5+5+3+10+5+2+15+15+15+121.9+5+5+8+15+15</f>
    </oc>
    <nc r="E36">
      <f>5+6+5+2+5+10+3+5+2+14+5+6+2+6+5+3+2.5+10+1+2+3+2+1.5+14+2.5+2+3+3+5+14.5+5+5+15+15+10+10+15+4+3.5+7+2+20+5+15+2+8+7+10+6+5+8+15+11.5+5+3+10+5+2+15+15+15+121.9+5+5+8+15+15+10+10+10</f>
    </nc>
  </rcc>
  <rcc rId="16240" sId="4" numFmtId="4">
    <oc r="F36">
      <v>67</v>
    </oc>
    <nc r="F36">
      <v>70</v>
    </nc>
  </rcc>
  <rcc rId="16241" sId="4" numFmtId="4">
    <oc r="G36">
      <v>593.9</v>
    </oc>
    <nc r="G36">
      <v>623.9</v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'сентябрь 2014г'!$C$21:$C$246</formula>
    <oldFormula>'сентябрь 2014г'!$C$21:$C$246</oldFormula>
  </rdn>
  <rdn rId="0" localSheetId="3" customView="1" name="Z_A743F9C7_8B89_4E8F_B91F_1FFB859064F2_.wvu.Rows" hidden="1" oldHidden="1">
    <formula>'сентябрь 2014г. по 6-10'!$2:$12</formula>
    <oldFormula>'сентябрь 2014г. по 6-10'!$2:$12</oldFormula>
  </rdn>
  <rdn rId="0" localSheetId="3" customView="1" name="Z_A743F9C7_8B89_4E8F_B91F_1FFB859064F2_.wvu.FilterData" hidden="1" oldHidden="1">
    <formula>'сентябрь 2014г. по 6-10'!$C$21:$C$130</formula>
    <oldFormula>'сентябрь 2014г. по 6-10'!$C$21:$C$130</oldFormula>
  </rdn>
  <rdn rId="0" localSheetId="4" customView="1" name="Z_A743F9C7_8B89_4E8F_B91F_1FFB859064F2_.wvu.Rows" hidden="1" oldHidden="1">
    <formula>'сентябрь 2014г. по 0,4'!$2:$12</formula>
    <oldFormula>'сентябрь 2014г. по 0,4'!$2:$12</oldFormula>
  </rdn>
  <rdn rId="0" localSheetId="4" customView="1" name="Z_A743F9C7_8B89_4E8F_B91F_1FFB859064F2_.wvu.FilterData" hidden="1" oldHidden="1">
    <formula>'сентябрь 2014г. по 0,4'!$C$18:$C$127</formula>
    <oldFormula>'сентябрь 2014г. по 0,4'!$C$18:$C$127</oldFormula>
  </rdn>
  <rcv guid="{A743F9C7-8B89-4E8F-B91F-1FFB859064F2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16040" sId="4" numFmtId="4">
    <oc r="D106">
      <v>3</v>
    </oc>
    <nc r="D106">
      <v>4</v>
    </nc>
  </rcc>
  <rcc rId="16041" sId="4">
    <oc r="E106">
      <f>7+14.5+7</f>
    </oc>
    <nc r="E106">
      <f>7+14.5+7+10</f>
    </nc>
  </rcc>
  <rcc rId="16042" sId="4" numFmtId="4">
    <oc r="F106">
      <v>3</v>
    </oc>
    <nc r="F106">
      <v>4</v>
    </nc>
  </rcc>
  <rcc rId="16043" sId="4" numFmtId="4">
    <oc r="G106">
      <v>28.5</v>
    </oc>
    <nc r="G106">
      <v>38.5</v>
    </nc>
  </rcc>
  <rcc rId="16044" sId="4" numFmtId="4">
    <oc r="D104">
      <v>25</v>
    </oc>
    <nc r="D104">
      <v>27</v>
    </nc>
  </rcc>
  <rcc rId="16045" sId="4">
    <oc r="E104">
      <f>5+70+5+13+5+5+8+10+5+8+15+12+5+5+10+5+5+12+5+10+5+5+30+13+10</f>
    </oc>
    <nc r="E104">
      <f>5+70+5+13+5+5+8+10+5+8+15+12+5+5+10+5+5+12+5+10+5+5+30+13+10+3+8</f>
    </nc>
  </rcc>
  <rcc rId="16046" sId="4" numFmtId="4">
    <oc r="F104">
      <v>25</v>
    </oc>
    <nc r="F104">
      <v>27</v>
    </nc>
  </rcc>
  <rcc rId="16047" sId="4" numFmtId="4">
    <oc r="G104">
      <v>281</v>
    </oc>
    <nc r="G104">
      <v>292</v>
    </nc>
  </rcc>
  <rcc rId="16048" sId="4" numFmtId="4">
    <oc r="D139">
      <v>10</v>
    </oc>
    <nc r="D139">
      <v>11</v>
    </nc>
  </rcc>
  <rcc rId="16049" sId="4">
    <oc r="E139">
      <f>8+14+13+3+5+12+5+5+5+13</f>
    </oc>
    <nc r="E139">
      <f>8+14+13+3+5+12+5+5+5+13+8</f>
    </nc>
  </rcc>
  <rcc rId="16050" sId="4" numFmtId="4">
    <oc r="F139">
      <v>10</v>
    </oc>
    <nc r="F139">
      <v>11</v>
    </nc>
  </rcc>
  <rcc rId="16051" sId="4" numFmtId="4">
    <oc r="G139">
      <v>83</v>
    </oc>
    <nc r="G139">
      <v>91</v>
    </nc>
  </rcc>
  <rcc rId="16052" sId="4" numFmtId="4">
    <oc r="D42">
      <v>4</v>
    </oc>
    <nc r="D42">
      <v>5</v>
    </nc>
  </rcc>
  <rcc rId="16053" sId="4">
    <oc r="E42">
      <f>12+6+12+15</f>
    </oc>
    <nc r="E42">
      <f>12+6+12+15+12</f>
    </nc>
  </rcc>
  <rcc rId="16054" sId="4" numFmtId="4">
    <oc r="F42">
      <v>4</v>
    </oc>
    <nc r="F42">
      <v>5</v>
    </nc>
  </rcc>
  <rcc rId="16055" sId="4" numFmtId="4">
    <oc r="G42">
      <v>45</v>
    </oc>
    <nc r="G42">
      <v>57</v>
    </nc>
  </rcc>
  <rcc rId="16056" sId="4" numFmtId="4">
    <oc r="D83">
      <v>4</v>
    </oc>
    <nc r="D83">
      <v>6</v>
    </nc>
  </rcc>
  <rcc rId="16057" sId="4">
    <oc r="E83">
      <f>8+2.5+12+6</f>
    </oc>
    <nc r="E83">
      <f>8+2.5+12+6+3+2.5</f>
    </nc>
  </rcc>
  <rcc rId="16058" sId="4" numFmtId="4">
    <oc r="F83">
      <v>4</v>
    </oc>
    <nc r="F83">
      <v>6</v>
    </nc>
  </rcc>
  <rcc rId="16059" sId="4" numFmtId="4">
    <oc r="G83">
      <v>28.5</v>
    </oc>
    <nc r="G83">
      <v>34</v>
    </nc>
  </rcc>
  <rcc rId="16060" sId="4" numFmtId="4">
    <nc r="E48">
      <v>5</v>
    </nc>
  </rcc>
  <rcc rId="16061" sId="4" numFmtId="4">
    <nc r="G48">
      <v>5</v>
    </nc>
  </rcc>
  <rcc rId="16062" sId="3" numFmtId="4">
    <nc r="D135">
      <v>1</v>
    </nc>
  </rcc>
  <rcc rId="16063" sId="3" numFmtId="4">
    <nc r="E135">
      <v>100</v>
    </nc>
  </rcc>
  <rcc rId="16064" sId="3" numFmtId="4">
    <nc r="F135">
      <v>1</v>
    </nc>
  </rcc>
  <rcc rId="16065" sId="3" numFmtId="4">
    <nc r="G135">
      <v>100</v>
    </nc>
  </rcc>
  <rcc rId="16066" sId="3" numFmtId="4">
    <nc r="D82">
      <v>1</v>
    </nc>
  </rcc>
  <rcc rId="16067" sId="3" numFmtId="4">
    <nc r="E82">
      <v>5</v>
    </nc>
  </rcc>
  <rcc rId="16068" sId="3" numFmtId="4">
    <nc r="F82">
      <v>1</v>
    </nc>
  </rcc>
  <rcc rId="16069" sId="3" numFmtId="4">
    <nc r="G82">
      <v>5</v>
    </nc>
  </rcc>
  <rcc rId="16070" sId="3" numFmtId="4">
    <oc r="D108">
      <v>8</v>
    </oc>
    <nc r="D108">
      <v>9</v>
    </nc>
  </rcc>
  <rcc rId="16071" sId="3">
    <oc r="E108">
      <f>10+10+15+55+6+60+85+65</f>
    </oc>
    <nc r="E108">
      <f>10+10+15+55+6+60+85+65+70</f>
    </nc>
  </rcc>
  <rcc rId="16072" sId="3" numFmtId="4">
    <oc r="F108">
      <v>8</v>
    </oc>
    <nc r="F108">
      <v>9</v>
    </nc>
  </rcc>
  <rcc rId="16073" sId="3" numFmtId="4">
    <oc r="G108">
      <v>306</v>
    </oc>
    <nc r="G108">
      <v>376</v>
    </nc>
  </rcc>
  <rcc rId="16074" sId="3" numFmtId="4">
    <oc r="D117">
      <v>17</v>
    </oc>
    <nc r="D117">
      <v>18</v>
    </nc>
  </rcc>
  <rcc rId="16075" sId="3">
    <oc r="E117">
      <f>360+15+320+20+155+360+80+60+15+54+80+50+10+10+200+60+194</f>
    </oc>
    <nc r="E117">
      <f>360+15+320+20+155+360+80+60+15+54+80+50+10+10+200+60+194+100</f>
    </nc>
  </rcc>
  <rcc rId="16076" sId="3" numFmtId="4">
    <oc r="F117">
      <v>17</v>
    </oc>
    <nc r="F117">
      <v>18</v>
    </nc>
  </rcc>
  <rcc rId="16077" sId="3" numFmtId="4">
    <oc r="G117">
      <v>2043</v>
    </oc>
    <nc r="G117">
      <v>2143</v>
    </nc>
  </rcc>
  <rcc rId="16078" sId="3" numFmtId="4">
    <nc r="D91">
      <v>1</v>
    </nc>
  </rcc>
  <rcc rId="16079" sId="3" numFmtId="4">
    <nc r="E91">
      <v>15</v>
    </nc>
  </rcc>
  <rcc rId="16080" sId="3" numFmtId="4">
    <nc r="F91">
      <v>1</v>
    </nc>
  </rcc>
  <rcc rId="16081" sId="3" numFmtId="4">
    <nc r="G91">
      <v>15</v>
    </nc>
  </rcc>
  <rcc rId="16082" sId="4" numFmtId="4">
    <oc r="D36">
      <v>63</v>
    </oc>
    <nc r="D36">
      <v>67</v>
    </nc>
  </rcc>
  <rcc rId="16083" sId="4">
    <oc r="E36">
      <f>5+6+5+2+5+10+3+5+2+14+5+6+2+6+5+3+2.5+10+1+2+3+2+1.5+14+2.5+2+3+3+5+14.5+5+5+15+15+10+10+15+4+3.5+7+2+20+5+15+2+8+7+10+6+5+8+15+11.5+5+3+10+5+2+15+15+15+121.9+5</f>
    </oc>
    <nc r="E36">
      <f>5+6+5+2+5+10+3+5+2+14+5+6+2+6+5+3+2.5+10+1+2+3+2+1.5+14+2.5+2+3+3+5+14.5+5+5+15+15+10+10+15+4+3.5+7+2+20+5+15+2+8+7+10+6+5+8+15+11.5+5+3+10+5+2+15+15+15+121.9+5+5+8+15+15</f>
    </nc>
  </rcc>
  <rcc rId="16084" sId="4" numFmtId="4">
    <oc r="F36">
      <v>63</v>
    </oc>
    <nc r="F36">
      <v>67</v>
    </nc>
  </rcc>
  <rcc rId="16085" sId="4" numFmtId="4">
    <oc r="G36">
      <v>550.9</v>
    </oc>
    <nc r="G36">
      <v>593.9</v>
    </nc>
  </rcc>
  <rcc rId="16086" sId="4" numFmtId="4">
    <oc r="D37">
      <v>15</v>
    </oc>
    <nc r="D37">
      <v>16</v>
    </nc>
  </rcc>
  <rcc rId="16087" sId="4">
    <oc r="E37">
      <f>10+10+15+6+2+4+3+2+2.5+3+5+10+15+15+3</f>
    </oc>
    <nc r="E37">
      <f>10+10+15+6+2+4+3+2+2.5+3+5+10+15+15+3+15</f>
    </nc>
  </rcc>
  <rcc rId="16088" sId="4" numFmtId="4">
    <oc r="F37">
      <v>15</v>
    </oc>
    <nc r="F37">
      <v>16</v>
    </nc>
  </rcc>
  <rcc rId="16089" sId="4" numFmtId="4">
    <oc r="G37">
      <v>105.5</v>
    </oc>
    <nc r="G37">
      <v>120.5</v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'сентябрь 2014г'!$C$21:$C$246</formula>
    <oldFormula>'сентябрь 2014г'!$C$21:$C$246</oldFormula>
  </rdn>
  <rdn rId="0" localSheetId="3" customView="1" name="Z_A743F9C7_8B89_4E8F_B91F_1FFB859064F2_.wvu.Rows" hidden="1" oldHidden="1">
    <formula>'сентябрь 2014г. по 6-10'!$2:$12</formula>
    <oldFormula>'сентябрь 2014г. по 6-10'!$2:$12</oldFormula>
  </rdn>
  <rdn rId="0" localSheetId="3" customView="1" name="Z_A743F9C7_8B89_4E8F_B91F_1FFB859064F2_.wvu.FilterData" hidden="1" oldHidden="1">
    <formula>'сентябрь 2014г. по 6-10'!$C$21:$C$130</formula>
    <oldFormula>'сентябрь 2014г. по 6-10'!$C$21:$C$130</oldFormula>
  </rdn>
  <rdn rId="0" localSheetId="4" customView="1" name="Z_A743F9C7_8B89_4E8F_B91F_1FFB859064F2_.wvu.Rows" hidden="1" oldHidden="1">
    <formula>'сентябрь 2014г. по 0,4'!$2:$12</formula>
    <oldFormula>'сентябрь 2014г. по 0,4'!$2:$12</oldFormula>
  </rdn>
  <rdn rId="0" localSheetId="4" customView="1" name="Z_A743F9C7_8B89_4E8F_B91F_1FFB859064F2_.wvu.FilterData" hidden="1" oldHidden="1">
    <formula>'сентябрь 2014г. по 0,4'!$C$18:$C$127</formula>
    <oldFormula>'сентябрь 2014г. по 0,4'!$C$18:$C$127</oldFormula>
  </rdn>
  <rcv guid="{A743F9C7-8B89-4E8F-B91F-1FFB859064F2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c rId="15986" sId="4" numFmtId="4">
    <oc r="D152">
      <v>11</v>
    </oc>
    <nc r="D152">
      <v>12</v>
    </nc>
  </rcc>
  <rcc rId="15987" sId="4">
    <oc r="E152">
      <f>5+4+10+5+5+15+5+6+5+6+6</f>
    </oc>
    <nc r="E152">
      <f>5+4+10+5+5+15+5+6+5+6+6+5</f>
    </nc>
  </rcc>
  <rcc rId="15988" sId="4" numFmtId="4">
    <oc r="F152">
      <v>11</v>
    </oc>
    <nc r="F152">
      <v>12</v>
    </nc>
  </rcc>
  <rcc rId="15989" sId="4" numFmtId="4">
    <oc r="G152">
      <v>72</v>
    </oc>
    <nc r="G152">
      <v>77</v>
    </nc>
  </rcc>
  <rcc rId="15990" sId="4" numFmtId="4">
    <oc r="D36">
      <v>62</v>
    </oc>
    <nc r="D36">
      <v>63</v>
    </nc>
  </rcc>
  <rcc rId="15991" sId="4">
    <oc r="E36">
      <f>5+6+5+2+5+10+3+5+2+14+5+6+2+6+5+3+2.5+10+1+2+3+2+1.5+14+2.5+2+3+3+5+14.5+5+5+15+15+10+10+15+4+3.5+7+2+20+5+15+2+8+7+10+6+5+8+15+11.5+5+3+10+5+2+15+15+15+121.9</f>
    </oc>
    <nc r="E36">
      <f>5+6+5+2+5+10+3+5+2+14+5+6+2+6+5+3+2.5+10+1+2+3+2+1.5+14+2.5+2+3+3+5+14.5+5+5+15+15+10+10+15+4+3.5+7+2+20+5+15+2+8+7+10+6+5+8+15+11.5+5+3+10+5+2+15+15+15+121.9+5</f>
    </nc>
  </rcc>
  <rcc rId="15992" sId="4" numFmtId="4">
    <oc r="F36">
      <v>62</v>
    </oc>
    <nc r="F36">
      <v>63</v>
    </nc>
  </rcc>
  <rcc rId="15993" sId="4" numFmtId="4">
    <oc r="G36">
      <v>545.9</v>
    </oc>
    <nc r="G36">
      <v>550.9</v>
    </nc>
  </rcc>
  <rcc rId="15994" sId="4" numFmtId="4">
    <oc r="D63">
      <v>56</v>
    </oc>
    <nc r="D63">
      <v>68</v>
    </nc>
  </rcc>
  <rcc rId="15995" sId="4">
    <oc r="E63">
      <f>10+7+12+8+15+15+4+12+8+8+7+12+7+15+6+6+8+7+5+15+10+3+15+10+10+5+5+15+5+20+14+15+15+10+15+10+15+3+6+6+8+6+3+10+8+15+25+6+5+15+10+25+15+15+15+25</f>
    </oc>
    <nc r="E63">
      <f>10+7+12+8+15+15+4+12+8+8+7+12+7+15+6+6+8+7+5+15+10+3+15+10+10+5+5+15+5+20+14+15+15+10+15+10+15+3+6+6+8+6+3+10+8+15+25+6+5+15+10+25+15+15+15+25+10+10+7+10+8+10+3+7+7+10+5+3</f>
    </nc>
  </rcc>
  <rcc rId="15996" sId="4" numFmtId="4">
    <oc r="F63">
      <v>56</v>
    </oc>
    <nc r="F63">
      <v>68</v>
    </nc>
  </rcc>
  <rcc rId="15997" sId="4" numFmtId="4">
    <oc r="G63">
      <v>600</v>
    </oc>
    <nc r="G63">
      <v>690</v>
    </nc>
  </rcc>
  <rcc rId="15998" sId="4">
    <oc r="D33">
      <v>34</v>
    </oc>
    <nc r="D33">
      <v>35</v>
    </nc>
  </rcc>
  <rcc rId="15999" sId="4">
    <oc r="E33">
      <f>5.5+15+6+4+10+10+6+6+15+10+8+5+6+5+4+12+12+5+5+5+11+14+10+8+12+10+12+13+10+20+9+10+15+6</f>
    </oc>
    <nc r="E33">
      <f>5.5+15+6+4+10+10+6+6+15+10+8+5+6+5+4+12+12+5+5+5+11+14+10+8+12+10+12+13+10+20+9+10+15+6+9</f>
    </nc>
  </rcc>
  <rcc rId="16000" sId="4">
    <oc r="F33">
      <v>33</v>
    </oc>
    <nc r="F33">
      <v>35</v>
    </nc>
  </rcc>
  <rcc rId="16001" sId="4">
    <oc r="G33">
      <v>308.5</v>
    </oc>
    <nc r="G33">
      <v>323.5</v>
    </nc>
  </rcc>
  <rcc rId="16002" sId="4" numFmtId="4">
    <oc r="D35">
      <v>6</v>
    </oc>
    <nc r="D35">
      <v>7</v>
    </nc>
  </rcc>
  <rcc rId="16003" sId="4">
    <oc r="E35">
      <f>6+10+15+3+7+5</f>
    </oc>
    <nc r="E35">
      <f>6+10+15+3+7+5+5</f>
    </nc>
  </rcc>
  <rcc rId="16004" sId="4" numFmtId="4">
    <oc r="F35">
      <v>6</v>
    </oc>
    <nc r="F35">
      <v>7</v>
    </nc>
  </rcc>
  <rcc rId="16005" sId="4" numFmtId="4">
    <oc r="G35">
      <v>46</v>
    </oc>
    <nc r="G35">
      <v>51</v>
    </nc>
  </rcc>
  <rcc rId="16006" sId="4" numFmtId="4">
    <nc r="D70">
      <v>1</v>
    </nc>
  </rcc>
  <rcc rId="16007" sId="4" numFmtId="4">
    <nc r="E70">
      <v>15</v>
    </nc>
  </rcc>
  <rcc rId="16008" sId="4" numFmtId="4">
    <nc r="F70">
      <v>1</v>
    </nc>
  </rcc>
  <rcc rId="16009" sId="4" numFmtId="4">
    <nc r="G70">
      <v>15</v>
    </nc>
  </rcc>
  <rcc rId="16010" sId="4" numFmtId="4">
    <oc r="D71">
      <v>7</v>
    </oc>
    <nc r="D71">
      <v>8</v>
    </nc>
  </rcc>
  <rcc rId="16011" sId="4">
    <oc r="E71">
      <f>5+15+10+10+15+10+5</f>
    </oc>
    <nc r="E71">
      <f>5+15+10+10+15+10+5+12</f>
    </nc>
  </rcc>
  <rcc rId="16012" sId="4" numFmtId="4">
    <oc r="F71">
      <v>7</v>
    </oc>
    <nc r="F71">
      <v>8</v>
    </nc>
  </rcc>
  <rcc rId="16013" sId="4" numFmtId="4">
    <oc r="G71">
      <v>70</v>
    </oc>
    <nc r="G71">
      <v>82</v>
    </nc>
  </rcc>
  <rcc rId="16014" sId="4" numFmtId="4">
    <oc r="D64">
      <v>37</v>
    </oc>
    <nc r="D64">
      <v>38</v>
    </nc>
  </rcc>
  <rcc rId="16015" sId="4">
    <oc r="E64">
      <f>15+15+5+15+15+15+15+8+15+15+15+15+4.5+15+10+15+10+15+15+15+13+15+15+5+5+15+10+5+15+6+6+15+10+15+10+15+15</f>
    </oc>
    <nc r="E64">
      <f>15+15+5+15+15+15+15+8+15+15+15+15+4.5+15+10+15+10+15+15+15+13+15+15+5+5+15+10+5+15+6+6+15+10+15+10+15+15+7</f>
    </nc>
  </rcc>
  <rcc rId="16016" sId="4" numFmtId="4">
    <oc r="F64">
      <v>37</v>
    </oc>
    <nc r="F64">
      <v>38</v>
    </nc>
  </rcc>
  <rcc rId="16017" sId="4" numFmtId="4">
    <oc r="G64">
      <v>452.5</v>
    </oc>
    <nc r="G64">
      <v>459.5</v>
    </nc>
  </rcc>
  <rcc rId="16018" sId="3" numFmtId="4">
    <oc r="D74">
      <v>5</v>
    </oc>
    <nc r="D74">
      <v>6</v>
    </nc>
  </rcc>
  <rcc rId="16019" sId="3">
    <oc r="E74">
      <f>15+15+100+10+100</f>
    </oc>
    <nc r="E74">
      <f>15+15+100+10+100+40</f>
    </nc>
  </rcc>
  <rcc rId="16020" sId="3" numFmtId="4">
    <oc r="F74">
      <v>4</v>
    </oc>
    <nc r="F74">
      <v>6</v>
    </nc>
  </rcc>
  <rcc rId="16021" sId="3" numFmtId="4">
    <oc r="G74">
      <v>140</v>
    </oc>
    <nc r="G74">
      <v>280</v>
    </nc>
  </rcc>
  <rcc rId="16022" sId="3" numFmtId="4">
    <oc r="D51">
      <v>5</v>
    </oc>
    <nc r="D51">
      <v>7</v>
    </nc>
  </rcc>
  <rcc rId="16023" sId="3">
    <oc r="E51">
      <f>200+40+155+100+80</f>
    </oc>
    <nc r="E51">
      <f>200+40+155+100+80+30+70</f>
    </nc>
  </rcc>
  <rcc rId="16024" sId="3" numFmtId="4">
    <oc r="F51">
      <v>5</v>
    </oc>
    <nc r="F51">
      <v>7</v>
    </nc>
  </rcc>
  <rcc rId="16025" sId="3" numFmtId="4">
    <oc r="G51">
      <v>575</v>
    </oc>
    <nc r="G51">
      <v>675</v>
    </nc>
  </rcc>
  <rcc rId="16026" sId="3" numFmtId="4">
    <nc r="D130">
      <v>1</v>
    </nc>
  </rcc>
  <rcc rId="16027" sId="3" numFmtId="4">
    <nc r="E130">
      <v>25</v>
    </nc>
  </rcc>
  <rcc rId="16028" sId="3" numFmtId="4">
    <nc r="F130">
      <v>1</v>
    </nc>
  </rcc>
  <rcc rId="16029" sId="3" numFmtId="4">
    <nc r="G130">
      <v>25</v>
    </nc>
  </rcc>
  <rcc rId="16030" sId="3" numFmtId="4">
    <oc r="D42">
      <v>6</v>
    </oc>
    <nc r="D42">
      <v>7</v>
    </nc>
  </rcc>
  <rcc rId="16031" sId="3">
    <oc r="E42">
      <f>20+170+180+60+1.1+400</f>
    </oc>
    <nc r="E42">
      <f>20+170+180+60+1.1+400+90</f>
    </nc>
  </rcc>
  <rcc rId="16032" sId="3" numFmtId="4">
    <oc r="F42">
      <v>6</v>
    </oc>
    <nc r="F42">
      <v>7</v>
    </nc>
  </rcc>
  <rcc rId="16033" sId="3" numFmtId="4">
    <oc r="G42">
      <v>831.1</v>
    </oc>
    <nc r="G42">
      <v>921.1</v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'сентябрь 2014г'!$C$21:$C$246</formula>
    <oldFormula>'сентябрь 2014г'!$C$21:$C$246</oldFormula>
  </rdn>
  <rdn rId="0" localSheetId="3" customView="1" name="Z_A743F9C7_8B89_4E8F_B91F_1FFB859064F2_.wvu.Rows" hidden="1" oldHidden="1">
    <formula>'сентябрь 2014г. по 6-10'!$2:$12</formula>
    <oldFormula>'сентябрь 2014г. по 6-10'!$2:$12</oldFormula>
  </rdn>
  <rdn rId="0" localSheetId="3" customView="1" name="Z_A743F9C7_8B89_4E8F_B91F_1FFB859064F2_.wvu.FilterData" hidden="1" oldHidden="1">
    <formula>'сентябрь 2014г. по 6-10'!$C$21:$C$130</formula>
    <oldFormula>'сентябрь 2014г. по 6-10'!$C$21:$C$130</oldFormula>
  </rdn>
  <rdn rId="0" localSheetId="4" customView="1" name="Z_A743F9C7_8B89_4E8F_B91F_1FFB859064F2_.wvu.Rows" hidden="1" oldHidden="1">
    <formula>'сентябрь 2014г. по 0,4'!$2:$12</formula>
    <oldFormula>'сентябрь 2014г. по 0,4'!$2:$12</oldFormula>
  </rdn>
  <rdn rId="0" localSheetId="4" customView="1" name="Z_A743F9C7_8B89_4E8F_B91F_1FFB859064F2_.wvu.FilterData" hidden="1" oldHidden="1">
    <formula>'сентябрь 2014г. по 0,4'!$C$18:$C$127</formula>
    <oldFormula>'сентябрь 2014г. по 0,4'!$C$18:$C$127</oldFormula>
  </rdn>
  <rcv guid="{A743F9C7-8B89-4E8F-B91F-1FFB859064F2}" action="add"/>
</revisions>
</file>

<file path=xl/revisions/revisionLog151111.xml><?xml version="1.0" encoding="utf-8"?>
<revisions xmlns="http://schemas.openxmlformats.org/spreadsheetml/2006/main" xmlns:r="http://schemas.openxmlformats.org/officeDocument/2006/relationships">
  <rcc rId="15974" sId="4" odxf="1" dxf="1">
    <oc r="B14" t="inlineStr">
      <is>
        <t>Информация о технологическом присоединении энергопринимающих устройств к сетям ОАО Дагэнергосеть илиалом ОАО "МРСК Северного Кавказа" за август 2014г.</t>
      </is>
    </oc>
    <nc r="B14" t="inlineStr">
      <is>
        <t>Информация о технологическом присоединении энергопринимающих устройств к сетям ОАО Дагэнергосеть илиалом ОАО "МРСК Северного Кавказа" за сентябрь 2014г.</t>
      </is>
    </nc>
    <odxf/>
    <ndxf/>
  </rcc>
  <rcc rId="15975" sId="3" odxf="1" dxf="1">
    <oc r="B14" t="inlineStr">
      <is>
        <t>Информация о технологическом присоединении энергопринимающих устройств к сетям ОАО Дагэнергосеть илиалом ОАО "МРСК Северного Кавказа" за август 2014г.</t>
      </is>
    </oc>
    <nc r="B14" t="inlineStr">
      <is>
        <t>Информация о технологическом присоединении энергопринимающих устройств к сетям ОАО Дагэнергосеть илиалом ОАО "МРСК Северного Кавказа" за сентябрь 2014г.</t>
      </is>
    </nc>
    <odxf/>
    <ndxf/>
  </rcc>
  <rcc rId="15976" sId="1">
    <oc r="B14" t="inlineStr">
      <is>
        <t>Информация о технологическом присоединении энергопринимающих устройств к сетям ОАО Дагэнергосеть илиалом ОАО "МРСК Северного Кавказа" за август 2014г.</t>
      </is>
    </oc>
    <nc r="B14" t="inlineStr">
      <is>
        <t>Информация о технологическом присоединении энергопринимающих устройств к сетям ОАО Дагэнергосеть илиалом ОАО "МРСК Северного Кавказа" за сентябрь 2014г.</t>
      </is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'сентябрь 2014г'!$C$21:$C$246</formula>
    <oldFormula>'сентябрь 2014г'!$C$21:$C$246</oldFormula>
  </rdn>
  <rdn rId="0" localSheetId="3" customView="1" name="Z_A743F9C7_8B89_4E8F_B91F_1FFB859064F2_.wvu.Rows" hidden="1" oldHidden="1">
    <formula>'сентябрь 2014г. по 6-10'!$2:$12</formula>
    <oldFormula>'сентябрь 2014г. по 6-10'!$2:$12</oldFormula>
  </rdn>
  <rdn rId="0" localSheetId="3" customView="1" name="Z_A743F9C7_8B89_4E8F_B91F_1FFB859064F2_.wvu.FilterData" hidden="1" oldHidden="1">
    <formula>'сентябрь 2014г. по 6-10'!$C$21:$C$130</formula>
    <oldFormula>'сентябрь 2014г. по 6-10'!$C$21:$C$130</oldFormula>
  </rdn>
  <rdn rId="0" localSheetId="4" customView="1" name="Z_A743F9C7_8B89_4E8F_B91F_1FFB859064F2_.wvu.Rows" hidden="1" oldHidden="1">
    <formula>'сентябрь 2014г. по 0,4'!$2:$12</formula>
    <oldFormula>'сентябрь 2014г. по 0,4'!$2:$12</oldFormula>
  </rdn>
  <rdn rId="0" localSheetId="4" customView="1" name="Z_A743F9C7_8B89_4E8F_B91F_1FFB859064F2_.wvu.FilterData" hidden="1" oldHidden="1">
    <formula>'сентябрь 2014г. по 0,4'!$C$18:$C$127</formula>
    <oldFormula>'сентябрь 2014г. по 0,4'!$C$18:$C$127</oldFormula>
  </rdn>
  <rcv guid="{A743F9C7-8B89-4E8F-B91F-1FFB859064F2}" action="add"/>
  <rsnm rId="15983" sheetId="1" oldName="[Сводная по поданным заявкам и заключенным договорам с присоединенной мощностью за сентябрь_2014.xlsx]август 2014г" newName="[Сводная по поданным заявкам и заключенным договорам с присоединенной мощностью за сентябрь_2014.xlsx]сентябрь 2014г"/>
  <rsnm rId="15984" sheetId="3" oldName="[Сводная по поданным заявкам и заключенным договорам с присоединенной мощностью за сентябрь_2014.xlsx]август 2014г. по 6-10" newName="[Сводная по поданным заявкам и заключенным договорам с присоединенной мощностью за сентябрь_2014.xlsx]сентябрь 2014г. по 6-10"/>
  <rsnm rId="15985" sheetId="4" oldName="[Сводная по поданным заявкам и заключенным договорам с присоединенной мощностью за сентябрь_2014.xlsx]август 2014г. по 0,4" newName="[Сводная по поданным заявкам и заключенным договорам с присоединенной мощностью за сентябрь_2014.xlsx]сентябрь 2014г. по 0,4"/>
</revisions>
</file>

<file path=xl/revisions/revisionLog16.xml><?xml version="1.0" encoding="utf-8"?>
<revisions xmlns="http://schemas.openxmlformats.org/spreadsheetml/2006/main" xmlns:r="http://schemas.openxmlformats.org/officeDocument/2006/relationships"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'сентябрь 2014г'!$C$21:$C$246</formula>
    <oldFormula>'сентябрь 2014г'!$C$21:$C$246</oldFormula>
  </rdn>
  <rdn rId="0" localSheetId="3" customView="1" name="Z_A743F9C7_8B89_4E8F_B91F_1FFB859064F2_.wvu.Rows" hidden="1" oldHidden="1">
    <formula>'сентябрь 2014г. по 6-10'!$2:$12</formula>
    <oldFormula>'сентябрь 2014г. по 6-10'!$2:$12</oldFormula>
  </rdn>
  <rdn rId="0" localSheetId="3" customView="1" name="Z_A743F9C7_8B89_4E8F_B91F_1FFB859064F2_.wvu.FilterData" hidden="1" oldHidden="1">
    <formula>'сентябрь 2014г. по 6-10'!$C$21:$C$130</formula>
    <oldFormula>'сентябрь 2014г. по 6-10'!$C$21:$C$130</oldFormula>
  </rdn>
  <rdn rId="0" localSheetId="4" customView="1" name="Z_A743F9C7_8B89_4E8F_B91F_1FFB859064F2_.wvu.Rows" hidden="1" oldHidden="1">
    <formula>'сентябрь 2014г. по 0,4'!$2:$12</formula>
    <oldFormula>'сентябрь 2014г. по 0,4'!$2:$12</oldFormula>
  </rdn>
  <rdn rId="0" localSheetId="4" customView="1" name="Z_A743F9C7_8B89_4E8F_B91F_1FFB859064F2_.wvu.FilterData" hidden="1" oldHidden="1">
    <formula>'сентябрь 2014г. по 0,4'!$C$18:$C$127</formula>
    <oldFormula>'сентябрь 2014г. по 0,4'!$C$18:$C$127</oldFormula>
  </rdn>
  <rcv guid="{A743F9C7-8B89-4E8F-B91F-1FFB859064F2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16397" sId="4" numFmtId="4">
    <oc r="F185">
      <v>10</v>
    </oc>
    <nc r="F185">
      <v>8</v>
    </nc>
  </rcc>
  <rcc rId="16398" sId="4" numFmtId="4">
    <oc r="G185">
      <v>98</v>
    </oc>
    <nc r="G185">
      <v>80</v>
    </nc>
  </rcc>
  <rcc rId="16399" sId="4" numFmtId="4">
    <oc r="F188">
      <v>9</v>
    </oc>
    <nc r="F188">
      <v>7</v>
    </nc>
  </rcc>
  <rcc rId="16400" sId="4" numFmtId="4">
    <oc r="G188">
      <v>93</v>
    </oc>
    <nc r="G188">
      <v>75</v>
    </nc>
  </rcc>
  <rcc rId="16401" sId="4" numFmtId="4">
    <oc r="F190">
      <v>11</v>
    </oc>
    <nc r="F190">
      <v>7</v>
    </nc>
  </rcc>
  <rcc rId="16402" sId="4" numFmtId="4">
    <oc r="G190">
      <v>99.5</v>
    </oc>
    <nc r="G190">
      <v>65</v>
    </nc>
  </rcc>
  <rcc rId="16403" sId="4" numFmtId="4">
    <oc r="F191">
      <v>4</v>
    </oc>
    <nc r="F191">
      <v>3</v>
    </nc>
  </rcc>
  <rcc rId="16404" sId="4" numFmtId="4">
    <oc r="F187">
      <v>8</v>
    </oc>
    <nc r="F187">
      <v>7</v>
    </nc>
  </rcc>
  <rcc rId="16405" sId="4" numFmtId="4">
    <oc r="G187">
      <v>80</v>
    </oc>
    <nc r="G187">
      <v>70</v>
    </nc>
  </rcc>
  <rfmt sheetId="4" sqref="D184:E191">
    <dxf>
      <fill>
        <patternFill patternType="solid">
          <bgColor rgb="FFFFFF00"/>
        </patternFill>
      </fill>
    </dxf>
  </rfmt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'сентябрь 2014г'!$C$21:$C$246</formula>
    <oldFormula>'сентябрь 2014г'!$C$21:$C$246</oldFormula>
  </rdn>
  <rdn rId="0" localSheetId="3" customView="1" name="Z_A743F9C7_8B89_4E8F_B91F_1FFB859064F2_.wvu.Rows" hidden="1" oldHidden="1">
    <formula>'сентябрь 2014г. по 6-10'!$2:$12</formula>
    <oldFormula>'сентябрь 2014г. по 6-10'!$2:$12</oldFormula>
  </rdn>
  <rdn rId="0" localSheetId="3" customView="1" name="Z_A743F9C7_8B89_4E8F_B91F_1FFB859064F2_.wvu.FilterData" hidden="1" oldHidden="1">
    <formula>'сентябрь 2014г. по 6-10'!$C$21:$C$130</formula>
    <oldFormula>'сентябрь 2014г. по 6-10'!$C$21:$C$130</oldFormula>
  </rdn>
  <rdn rId="0" localSheetId="4" customView="1" name="Z_A743F9C7_8B89_4E8F_B91F_1FFB859064F2_.wvu.Rows" hidden="1" oldHidden="1">
    <formula>'сентябрь 2014г. по 0,4'!$2:$12</formula>
    <oldFormula>'сентябрь 2014г. по 0,4'!$2:$12</oldFormula>
  </rdn>
  <rdn rId="0" localSheetId="4" customView="1" name="Z_A743F9C7_8B89_4E8F_B91F_1FFB859064F2_.wvu.FilterData" hidden="1" oldHidden="1">
    <formula>'сентябрь 2014г. по 0,4'!$C$18:$C$127</formula>
    <oldFormula>'сентябрь 2014г. по 0,4'!$C$18:$C$127</oldFormula>
  </rdn>
  <rcv guid="{A743F9C7-8B89-4E8F-B91F-1FFB859064F2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c rId="16272" sId="4" numFmtId="4">
    <oc r="D179">
      <v>2</v>
    </oc>
    <nc r="D179">
      <v>3</v>
    </nc>
  </rcc>
  <rcc rId="16273" sId="4">
    <oc r="E179">
      <f>15+12</f>
    </oc>
    <nc r="E179">
      <f>15+12+9</f>
    </nc>
  </rcc>
  <rcc rId="16274" sId="4" numFmtId="4">
    <oc r="F179">
      <v>2</v>
    </oc>
    <nc r="F179">
      <v>3</v>
    </nc>
  </rcc>
  <rcc rId="16275" sId="4" numFmtId="4">
    <oc r="G179">
      <f>15+12</f>
    </oc>
    <nc r="G179">
      <v>36</v>
    </nc>
  </rcc>
  <rcc rId="16276" sId="4" numFmtId="4">
    <oc r="D171">
      <v>9</v>
    </oc>
    <nc r="D171">
      <v>10</v>
    </nc>
  </rcc>
  <rcc rId="16277" sId="4">
    <oc r="E171">
      <f>5+5+5+3+3+3+15+5+5</f>
    </oc>
    <nc r="E171">
      <f>5+5+5+3+3+3+15+5+5+5</f>
    </nc>
  </rcc>
  <rcc rId="16278" sId="4" numFmtId="4">
    <oc r="F171">
      <v>9</v>
    </oc>
    <nc r="F171">
      <v>10</v>
    </nc>
  </rcc>
  <rcc rId="16279" sId="4" numFmtId="4">
    <oc r="G171">
      <v>49</v>
    </oc>
    <nc r="G171">
      <v>54</v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'сентябрь 2014г'!$C$21:$C$246</formula>
    <oldFormula>'сентябрь 2014г'!$C$21:$C$246</oldFormula>
  </rdn>
  <rdn rId="0" localSheetId="3" customView="1" name="Z_A743F9C7_8B89_4E8F_B91F_1FFB859064F2_.wvu.Rows" hidden="1" oldHidden="1">
    <formula>'сентябрь 2014г. по 6-10'!$2:$12</formula>
    <oldFormula>'сентябрь 2014г. по 6-10'!$2:$12</oldFormula>
  </rdn>
  <rdn rId="0" localSheetId="3" customView="1" name="Z_A743F9C7_8B89_4E8F_B91F_1FFB859064F2_.wvu.FilterData" hidden="1" oldHidden="1">
    <formula>'сентябрь 2014г. по 6-10'!$C$21:$C$130</formula>
    <oldFormula>'сентябрь 2014г. по 6-10'!$C$21:$C$130</oldFormula>
  </rdn>
  <rdn rId="0" localSheetId="4" customView="1" name="Z_A743F9C7_8B89_4E8F_B91F_1FFB859064F2_.wvu.Rows" hidden="1" oldHidden="1">
    <formula>'сентябрь 2014г. по 0,4'!$2:$12</formula>
    <oldFormula>'сентябрь 2014г. по 0,4'!$2:$12</oldFormula>
  </rdn>
  <rdn rId="0" localSheetId="4" customView="1" name="Z_A743F9C7_8B89_4E8F_B91F_1FFB859064F2_.wvu.FilterData" hidden="1" oldHidden="1">
    <formula>'сентябрь 2014г. по 0,4'!$C$18:$C$127</formula>
    <oldFormula>'сентябрь 2014г. по 0,4'!$C$18:$C$127</oldFormula>
  </rdn>
  <rcv guid="{A743F9C7-8B89-4E8F-B91F-1FFB859064F2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'сентябрь 2014г'!$C$21:$C$246</formula>
    <oldFormula>'сентябрь 2014г'!$C$21:$C$246</oldFormula>
  </rdn>
  <rdn rId="0" localSheetId="3" customView="1" name="Z_A743F9C7_8B89_4E8F_B91F_1FFB859064F2_.wvu.Rows" hidden="1" oldHidden="1">
    <formula>'сентябрь 2014г. по 6-10'!$2:$12</formula>
    <oldFormula>'сентябрь 2014г. по 6-10'!$2:$12</oldFormula>
  </rdn>
  <rdn rId="0" localSheetId="3" customView="1" name="Z_A743F9C7_8B89_4E8F_B91F_1FFB859064F2_.wvu.FilterData" hidden="1" oldHidden="1">
    <formula>'сентябрь 2014г. по 6-10'!$C$21:$C$130</formula>
    <oldFormula>'сентябрь 2014г. по 6-10'!$C$21:$C$130</oldFormula>
  </rdn>
  <rdn rId="0" localSheetId="4" customView="1" name="Z_A743F9C7_8B89_4E8F_B91F_1FFB859064F2_.wvu.Rows" hidden="1" oldHidden="1">
    <formula>'сентябрь 2014г. по 0,4'!$2:$12</formula>
    <oldFormula>'сентябрь 2014г. по 0,4'!$2:$12</oldFormula>
  </rdn>
  <rdn rId="0" localSheetId="4" customView="1" name="Z_A743F9C7_8B89_4E8F_B91F_1FFB859064F2_.wvu.FilterData" hidden="1" oldHidden="1">
    <formula>'сентябрь 2014г. по 0,4'!$C$18:$C$127</formula>
    <oldFormula>'сентябрь 2014г. по 0,4'!$C$18:$C$127</oldFormula>
  </rdn>
  <rcv guid="{A743F9C7-8B89-4E8F-B91F-1FFB859064F2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cc rId="15918" sId="3" numFmtId="4">
    <oc r="D33">
      <v>4</v>
    </oc>
    <nc r="D33">
      <v>5</v>
    </nc>
  </rcc>
  <rcc rId="15919" sId="3">
    <oc r="E33">
      <f>60+48+150+85</f>
    </oc>
    <nc r="E33">
      <f>60+48+150+85+640</f>
    </nc>
  </rcc>
  <rcc rId="15920" sId="3" numFmtId="4">
    <oc r="F33">
      <v>4</v>
    </oc>
    <nc r="F33">
      <v>5</v>
    </nc>
  </rcc>
  <rcc rId="15921" sId="3" numFmtId="4">
    <oc r="G33">
      <v>343</v>
    </oc>
    <nc r="G33">
      <v>983</v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'август 2014г'!$C$21:$C$246</formula>
    <oldFormula>'август 2014г'!$C$21:$C$246</oldFormula>
  </rdn>
  <rdn rId="0" localSheetId="3" customView="1" name="Z_A743F9C7_8B89_4E8F_B91F_1FFB859064F2_.wvu.Rows" hidden="1" oldHidden="1">
    <formula>'август 2014г. по 6-10'!$2:$12</formula>
    <oldFormula>'август 2014г. по 6-10'!$2:$12</oldFormula>
  </rdn>
  <rdn rId="0" localSheetId="3" customView="1" name="Z_A743F9C7_8B89_4E8F_B91F_1FFB859064F2_.wvu.FilterData" hidden="1" oldHidden="1">
    <formula>'август 2014г. по 6-10'!$C$21:$C$130</formula>
    <oldFormula>'август 2014г. по 6-10'!$C$21:$C$130</oldFormula>
  </rdn>
  <rdn rId="0" localSheetId="4" customView="1" name="Z_A743F9C7_8B89_4E8F_B91F_1FFB859064F2_.wvu.Rows" hidden="1" oldHidden="1">
    <formula>'август 2014г. по 0,4'!$2:$12</formula>
    <oldFormula>'август 2014г. по 0,4'!$2:$12</oldFormula>
  </rdn>
  <rdn rId="0" localSheetId="4" customView="1" name="Z_A743F9C7_8B89_4E8F_B91F_1FFB859064F2_.wvu.FilterData" hidden="1" oldHidden="1">
    <formula>'август 2014г. по 0,4'!$C$18:$C$127</formula>
    <oldFormula>'август 2014г. по 0,4'!$C$18:$C$127</oldFormula>
  </rdn>
  <rcv guid="{A743F9C7-8B89-4E8F-B91F-1FFB859064F2}" action="add"/>
</revisions>
</file>

<file path=xl/revisions/revisionLog1611111.xml><?xml version="1.0" encoding="utf-8"?>
<revisions xmlns="http://schemas.openxmlformats.org/spreadsheetml/2006/main" xmlns:r="http://schemas.openxmlformats.org/officeDocument/2006/relationships">
  <rcc rId="15777" sId="3" numFmtId="4">
    <oc r="D178">
      <v>4</v>
    </oc>
    <nc r="D178">
      <v>6</v>
    </nc>
  </rcc>
  <rcc rId="15778" sId="3">
    <oc r="E178">
      <f>30+15+100+100</f>
    </oc>
    <nc r="E178">
      <f>30+15+100+100+15+10</f>
    </nc>
  </rcc>
  <rcc rId="15779" sId="3" numFmtId="4">
    <oc r="F178">
      <v>4</v>
    </oc>
    <nc r="F178">
      <v>6</v>
    </nc>
  </rcc>
  <rcc rId="15780" sId="3" numFmtId="4">
    <oc r="G178">
      <f>30+15+100+100</f>
    </oc>
    <nc r="G178">
      <v>270</v>
    </nc>
  </rcc>
  <rcc rId="15781" sId="4" numFmtId="4">
    <oc r="D45">
      <v>15</v>
    </oc>
    <nc r="D45">
      <v>17</v>
    </nc>
  </rcc>
  <rcc rId="15782" sId="4">
    <oc r="E45">
      <f>15+10+10+13+6+10+15+15+15+15+15+8+10+10</f>
    </oc>
    <nc r="E45">
      <f>15+10+10+13+6+10+15+15+15+15+15+8+10+10+12+15</f>
    </nc>
  </rcc>
  <rcc rId="15783" sId="4" numFmtId="4">
    <oc r="F45">
      <v>15</v>
    </oc>
    <nc r="F45">
      <v>17</v>
    </nc>
  </rcc>
  <rcc rId="15784" sId="4" numFmtId="4">
    <oc r="G45">
      <v>167</v>
    </oc>
    <nc r="G45">
      <v>194</v>
    </nc>
  </rcc>
  <rcc rId="15785" sId="4" numFmtId="4">
    <nc r="D177">
      <v>1</v>
    </nc>
  </rcc>
  <rcc rId="15786" sId="4" numFmtId="4">
    <nc r="E177">
      <v>15</v>
    </nc>
  </rcc>
  <rcc rId="15787" sId="4" numFmtId="4">
    <nc r="F177">
      <v>1</v>
    </nc>
  </rcc>
  <rcc rId="15788" sId="4" numFmtId="4">
    <nc r="G177">
      <v>15</v>
    </nc>
  </rcc>
  <rcc rId="15789" sId="4" numFmtId="4">
    <oc r="D175">
      <v>9</v>
    </oc>
    <nc r="D175">
      <v>10</v>
    </nc>
  </rcc>
  <rcc rId="15790" sId="4">
    <oc r="E175">
      <f>15+10+15+15+10+15+10+15+10</f>
    </oc>
    <nc r="E175">
      <f>15+10+15+15+10+15+10+15+10+10</f>
    </nc>
  </rcc>
  <rcc rId="15791" sId="4" numFmtId="4">
    <oc r="F175">
      <v>9</v>
    </oc>
    <nc r="F175">
      <v>10</v>
    </nc>
  </rcc>
  <rcc rId="15792" sId="4" numFmtId="4">
    <oc r="G175">
      <v>115</v>
    </oc>
    <nc r="G175">
      <v>125</v>
    </nc>
  </rcc>
  <rcc rId="15793" sId="4" numFmtId="4">
    <oc r="D74">
      <v>10</v>
    </oc>
    <nc r="D74">
      <v>12</v>
    </nc>
  </rcc>
  <rcc rId="15794" sId="4">
    <oc r="E74">
      <f>5+10+7+5+7+15+5+15+5+4</f>
    </oc>
    <nc r="E74">
      <f>5+10+7+5+7+15+5+15+5+4+10+10</f>
    </nc>
  </rcc>
  <rcc rId="15795" sId="4" numFmtId="4">
    <oc r="F74">
      <v>10</v>
    </oc>
    <nc r="F74">
      <v>12</v>
    </nc>
  </rcc>
  <rcc rId="15796" sId="4" numFmtId="4">
    <oc r="G74">
      <v>78</v>
    </oc>
    <nc r="G74">
      <v>98</v>
    </nc>
  </rcc>
  <rcc rId="15797" sId="4" numFmtId="4">
    <oc r="D94">
      <v>5</v>
    </oc>
    <nc r="D94">
      <v>6</v>
    </nc>
  </rcc>
  <rcc rId="15798" sId="4">
    <oc r="E94">
      <f>6+15+8+10+8</f>
    </oc>
    <nc r="E94">
      <f>6+15+8+10+8+15</f>
    </nc>
  </rcc>
  <rcc rId="15799" sId="4" numFmtId="4">
    <oc r="F94">
      <v>5</v>
    </oc>
    <nc r="F94">
      <v>6</v>
    </nc>
  </rcc>
  <rcc rId="15800" sId="4" numFmtId="4">
    <oc r="G94">
      <v>47</v>
    </oc>
    <nc r="G94">
      <v>62</v>
    </nc>
  </rcc>
  <rcc rId="15801" sId="3">
    <nc r="D49">
      <v>1</v>
    </nc>
  </rcc>
  <rcc rId="15802" sId="3">
    <nc r="E49">
      <v>150</v>
    </nc>
  </rcc>
  <rcc rId="15803" sId="3">
    <nc r="F49">
      <v>1</v>
    </nc>
  </rcc>
  <rcc rId="15804" sId="3">
    <nc r="G49">
      <v>150</v>
    </nc>
  </rcc>
  <rcc rId="15805" sId="3">
    <oc r="D36">
      <v>17</v>
    </oc>
    <nc r="D36">
      <v>18</v>
    </nc>
  </rcc>
  <rcc rId="15806" sId="3">
    <oc r="E36">
      <f>50+150+18+160+90+200+75+15+150+50+86+20+6+400+15+15+40</f>
    </oc>
    <nc r="E36">
      <f>50+150+18+160+90+200+75+15+150+50+86+20+6+400+15+15+40+55</f>
    </nc>
  </rcc>
  <rcc rId="15807" sId="3">
    <oc r="F36">
      <v>17</v>
    </oc>
    <nc r="F36">
      <v>18</v>
    </nc>
  </rcc>
  <rcc rId="15808" sId="3">
    <oc r="G36">
      <v>1540</v>
    </oc>
    <nc r="G36">
      <v>1595</v>
    </nc>
  </rcc>
  <rcc rId="15809" sId="3" numFmtId="4">
    <oc r="D155">
      <v>7</v>
    </oc>
    <nc r="D155">
      <v>8</v>
    </nc>
  </rcc>
  <rcc rId="15810" sId="3">
    <oc r="E155">
      <f>67.8+15+5+170+30+90+630</f>
    </oc>
    <nc r="E155">
      <f>67.8+15+5+170+30+90+630+25</f>
    </nc>
  </rcc>
  <rcc rId="15811" sId="3" numFmtId="4">
    <oc r="F155">
      <v>7</v>
    </oc>
    <nc r="F155">
      <v>8</v>
    </nc>
  </rcc>
  <rcc rId="15812" sId="3" numFmtId="4">
    <oc r="G155">
      <v>1007.8</v>
    </oc>
    <nc r="G155">
      <v>1032.8</v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'август 2014г'!$C$21:$C$246</formula>
    <oldFormula>'август 2014г'!$C$21:$C$246</oldFormula>
  </rdn>
  <rdn rId="0" localSheetId="3" customView="1" name="Z_A743F9C7_8B89_4E8F_B91F_1FFB859064F2_.wvu.Rows" hidden="1" oldHidden="1">
    <formula>'август 2014г. по 6-10'!$2:$12</formula>
    <oldFormula>'август 2014г. по 6-10'!$2:$12</oldFormula>
  </rdn>
  <rdn rId="0" localSheetId="3" customView="1" name="Z_A743F9C7_8B89_4E8F_B91F_1FFB859064F2_.wvu.FilterData" hidden="1" oldHidden="1">
    <formula>'август 2014г. по 6-10'!$C$21:$C$130</formula>
    <oldFormula>'август 2014г. по 6-10'!$C$21:$C$130</oldFormula>
  </rdn>
  <rdn rId="0" localSheetId="4" customView="1" name="Z_A743F9C7_8B89_4E8F_B91F_1FFB859064F2_.wvu.Rows" hidden="1" oldHidden="1">
    <formula>'август 2014г. по 0,4'!$2:$12</formula>
    <oldFormula>'август 2014г. по 0,4'!$2:$12</oldFormula>
  </rdn>
  <rdn rId="0" localSheetId="4" customView="1" name="Z_A743F9C7_8B89_4E8F_B91F_1FFB859064F2_.wvu.FilterData" hidden="1" oldHidden="1">
    <formula>'август 2014г. по 0,4'!$C$18:$C$127</formula>
    <oldFormula>'август 2014г. по 0,4'!$C$18:$C$127</oldFormula>
  </rdn>
  <rcv guid="{A743F9C7-8B89-4E8F-B91F-1FFB859064F2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17182" sId="4" numFmtId="4">
    <oc r="D29">
      <v>10</v>
    </oc>
    <nc r="D29">
      <v>25</v>
    </nc>
  </rcc>
  <rcc rId="17183" sId="4" numFmtId="4">
    <oc r="E29">
      <f>10+8+8+5+8+10+5+10+7+15</f>
    </oc>
    <nc r="E29">
      <v>190</v>
    </nc>
  </rcc>
  <rcc rId="17184" sId="4" numFmtId="4">
    <oc r="F29">
      <v>10</v>
    </oc>
    <nc r="F29">
      <v>25</v>
    </nc>
  </rcc>
  <rcc rId="17185" sId="4" numFmtId="4">
    <oc r="G29">
      <v>86</v>
    </oc>
    <nc r="G29">
      <v>190</v>
    </nc>
  </rcc>
  <rcc rId="17186" sId="4" numFmtId="4">
    <oc r="D32">
      <v>5</v>
    </oc>
    <nc r="D32">
      <v>10</v>
    </nc>
  </rcc>
  <rcc rId="17187" sId="4" numFmtId="4">
    <oc r="E32">
      <f>15+9+12+5+9</f>
    </oc>
    <nc r="E32">
      <v>110</v>
    </nc>
  </rcc>
  <rcc rId="17188" sId="4" numFmtId="4">
    <oc r="F32">
      <v>5</v>
    </oc>
    <nc r="F32">
      <v>10</v>
    </nc>
  </rcc>
  <rcc rId="17189" sId="4" numFmtId="4">
    <oc r="G32">
      <v>50</v>
    </oc>
    <nc r="G32">
      <v>110</v>
    </nc>
  </rcc>
  <rcc rId="17190" sId="4">
    <oc r="D33">
      <v>37</v>
    </oc>
    <nc r="D33">
      <v>50</v>
    </nc>
  </rcc>
  <rcc rId="17191" sId="4">
    <oc r="E33">
      <f>5.5+15+6+4+10+10+6+6+15+10+8+5+6+5+4+12+12+5+5+5+11+14+10+8+12+10+12+13+10+20+9+10+15+6+9+15+2</f>
    </oc>
    <nc r="E33">
      <v>460</v>
    </nc>
  </rcc>
  <rcc rId="17192" sId="4" numFmtId="4">
    <oc r="F35">
      <v>7</v>
    </oc>
    <nc r="F35">
      <v>9</v>
    </nc>
  </rcc>
  <rcc rId="17193" sId="4" numFmtId="4">
    <oc r="G35">
      <v>51</v>
    </oc>
    <nc r="G35">
      <v>70</v>
    </nc>
  </rcc>
  <rcc rId="17194" sId="4" numFmtId="4">
    <oc r="D36">
      <v>90</v>
    </oc>
    <nc r="D36">
      <v>100</v>
    </nc>
  </rcc>
  <rcc rId="17195" sId="4" numFmtId="4">
    <oc r="E36">
      <f>5+6+5+2+5+10+3+5+2+14+5+6+2+6+5+3+2.5+10+1+2+3+2+1.5+14+2.5+2+3+3+5+14.5+5+5+15+15+10+10+15+4+3.5+7+2+20+5+15+2+8+7+10+6+5+8+15+11.5+5+3+10+5+2+15+15+15+121.9+5+5+8+15+15+10+10+10</f>
    </oc>
    <nc r="E36">
      <v>680</v>
    </nc>
  </rcc>
  <rcc rId="17196" sId="4" numFmtId="4">
    <oc r="G36">
      <v>300</v>
    </oc>
    <nc r="G36">
      <v>450</v>
    </nc>
  </rcc>
  <rcc rId="17197" sId="4" numFmtId="4">
    <oc r="E108">
      <f>50+10+5+5+5+10+5+10+13+5+7+10+5+5+5+5+11+5+15+5+7+7+5+14+5+5+15+5.5</f>
    </oc>
    <nc r="E108">
      <v>350</v>
    </nc>
  </rcc>
  <rcc rId="17198" sId="4" numFmtId="4">
    <oc r="E104">
      <f>5+70+5+13+5+5+8+10+5+8+15+12+5+5+10+5+5+12+5+10+5+5+30+13+10+3+8</f>
    </oc>
    <nc r="E104">
      <v>292</v>
    </nc>
  </rcc>
  <rcc rId="17199" sId="4" numFmtId="4">
    <oc r="E101">
      <f>4+5+13+8+160+10+5+14+10+3+5+6+8+3+10+10+12+6+6+5+3+5+10+10+10</f>
    </oc>
    <nc r="E101">
      <v>467</v>
    </nc>
  </rcc>
  <rcc rId="17200" sId="4" numFmtId="4">
    <oc r="D48">
      <v>1</v>
    </oc>
    <nc r="D48">
      <v>5</v>
    </nc>
  </rcc>
  <rcc rId="17201" sId="4" numFmtId="4">
    <oc r="E48">
      <v>5</v>
    </oc>
    <nc r="E48">
      <v>45</v>
    </nc>
  </rcc>
  <rcc rId="17202" sId="4" numFmtId="4">
    <oc r="F48">
      <v>1</v>
    </oc>
    <nc r="F48">
      <v>5</v>
    </nc>
  </rcc>
  <rcc rId="17203" sId="4" numFmtId="4">
    <oc r="G48">
      <v>5</v>
    </oc>
    <nc r="G48">
      <v>45</v>
    </nc>
  </rcc>
  <rcc rId="17204" sId="4" numFmtId="4">
    <nc r="D43">
      <v>5</v>
    </nc>
  </rcc>
  <rcc rId="17205" sId="4" numFmtId="4">
    <nc r="E43">
      <v>35</v>
    </nc>
  </rcc>
  <rcc rId="17206" sId="4" numFmtId="4">
    <nc r="F43">
      <v>5</v>
    </nc>
  </rcc>
  <rcc rId="17207" sId="4" numFmtId="4">
    <nc r="G43">
      <v>35</v>
    </nc>
  </rcc>
  <rcc rId="17208" sId="4" numFmtId="4">
    <oc r="D45">
      <v>18</v>
    </oc>
    <nc r="D45">
      <v>28</v>
    </nc>
  </rcc>
  <rcc rId="17209" sId="4" numFmtId="4">
    <oc r="E45">
      <f>15+10+10+13+6+10+15+15+15+15+15+8+10+10+12+15+10</f>
    </oc>
    <nc r="E45">
      <v>300</v>
    </nc>
  </rcc>
  <rcc rId="17210" sId="4" numFmtId="4">
    <oc r="G45">
      <v>160</v>
    </oc>
    <nc r="G45">
      <v>200</v>
    </nc>
  </rcc>
  <rcc rId="17211" sId="4" numFmtId="4">
    <nc r="D195">
      <v>5</v>
    </nc>
  </rcc>
  <rcc rId="17212" sId="4" numFmtId="4">
    <nc r="F195">
      <v>4</v>
    </nc>
  </rcc>
  <rcc rId="17213" sId="4" numFmtId="4">
    <nc r="E195">
      <v>20</v>
    </nc>
  </rcc>
  <rcc rId="17214" sId="4" numFmtId="4">
    <nc r="G195">
      <v>20</v>
    </nc>
  </rcc>
  <rcc rId="17215" sId="4" numFmtId="4">
    <nc r="D197">
      <v>5</v>
    </nc>
  </rcc>
  <rcc rId="17216" sId="4" numFmtId="4">
    <nc r="E197">
      <v>20</v>
    </nc>
  </rcc>
  <rcc rId="17217" sId="4" numFmtId="4">
    <nc r="F197">
      <v>5</v>
    </nc>
  </rcc>
  <rcc rId="17218" sId="4" numFmtId="4">
    <nc r="G197">
      <v>20</v>
    </nc>
  </rcc>
  <rcc rId="17219" sId="4" numFmtId="4">
    <nc r="D189">
      <v>5</v>
    </nc>
  </rcc>
  <rcc rId="17220" sId="4" numFmtId="4">
    <nc r="E189">
      <v>20</v>
    </nc>
  </rcc>
  <rcc rId="17221" sId="4" numFmtId="4">
    <nc r="F189">
      <v>5</v>
    </nc>
  </rcc>
  <rcc rId="17222" sId="4" numFmtId="4">
    <nc r="G189">
      <v>20</v>
    </nc>
  </rcc>
  <rcc rId="17223" sId="4" numFmtId="4">
    <oc r="G185">
      <v>54</v>
    </oc>
    <nc r="G185">
      <v>45</v>
    </nc>
  </rcc>
  <rcc rId="17224" sId="4" numFmtId="4">
    <oc r="F191">
      <v>3</v>
    </oc>
    <nc r="F191">
      <v>4</v>
    </nc>
  </rcc>
  <rcc rId="17225" sId="4" numFmtId="4">
    <oc r="F184">
      <v>12</v>
    </oc>
    <nc r="F184">
      <v>25</v>
    </nc>
  </rcc>
  <rcc rId="17226" sId="4" numFmtId="4">
    <oc r="F40">
      <v>6</v>
    </oc>
    <nc r="F40">
      <v>9</v>
    </nc>
  </rcc>
  <rcc rId="17227" sId="4" numFmtId="4">
    <oc r="F45">
      <v>18</v>
    </oc>
    <nc r="F45">
      <v>22</v>
    </nc>
  </rcc>
  <rcc rId="17228" sId="4">
    <oc r="D56">
      <v>2</v>
    </oc>
    <nc r="D56">
      <v>12</v>
    </nc>
  </rcc>
  <rcc rId="17229" sId="4">
    <oc r="E56">
      <f>5+5</f>
    </oc>
    <nc r="E56">
      <v>150</v>
    </nc>
  </rcc>
  <rcc rId="17230" sId="4" numFmtId="4">
    <oc r="D57">
      <v>1</v>
    </oc>
    <nc r="D57">
      <v>9</v>
    </nc>
  </rcc>
  <rcc rId="17231" sId="4" numFmtId="4">
    <oc r="E57">
      <v>15</v>
    </oc>
    <nc r="E57">
      <v>102</v>
    </nc>
  </rcc>
  <rcc rId="17232" sId="4" numFmtId="4">
    <oc r="D55">
      <v>7</v>
    </oc>
    <nc r="D55">
      <v>14</v>
    </nc>
  </rcc>
  <rcc rId="17233" sId="4" numFmtId="4">
    <oc r="E55">
      <f>10+10+6+14+14+10+15</f>
    </oc>
    <nc r="E55">
      <v>167</v>
    </nc>
  </rcc>
  <rcc rId="17234" sId="4" numFmtId="4">
    <oc r="F55">
      <v>7</v>
    </oc>
    <nc r="F55">
      <v>9</v>
    </nc>
  </rcc>
  <rcc rId="17235" sId="4" numFmtId="4">
    <oc r="D69">
      <v>10</v>
    </oc>
    <nc r="D69">
      <v>16</v>
    </nc>
  </rcc>
  <rcc rId="17236" sId="4" numFmtId="4">
    <oc r="E69">
      <f>2.5+7+13+3+5+1.5+8+12+8+10</f>
    </oc>
    <nc r="E69">
      <v>155</v>
    </nc>
  </rcc>
  <rcc rId="17237" sId="4" numFmtId="4">
    <oc r="F69">
      <v>10</v>
    </oc>
    <nc r="F69">
      <v>6</v>
    </nc>
  </rcc>
  <rcc rId="17238" sId="4" numFmtId="4">
    <oc r="F67">
      <v>9</v>
    </oc>
    <nc r="F67">
      <v>7</v>
    </nc>
  </rcc>
  <rcc rId="17239" sId="4" numFmtId="4">
    <oc r="F36">
      <v>70</v>
    </oc>
    <nc r="F36">
      <v>79</v>
    </nc>
  </rcc>
  <rcc rId="17240" sId="4" numFmtId="4">
    <oc r="E35">
      <f>6+10+15+3+7+5+5</f>
    </oc>
    <nc r="E35">
      <v>245</v>
    </nc>
  </rcc>
  <rcc rId="17241" sId="4" numFmtId="4">
    <oc r="D35">
      <v>7</v>
    </oc>
    <nc r="D35">
      <v>21</v>
    </nc>
  </rcc>
  <rcc rId="17242" sId="4" numFmtId="4">
    <oc r="D75">
      <v>2</v>
    </oc>
    <nc r="D75">
      <v>4</v>
    </nc>
  </rcc>
  <rcc rId="17243" sId="4" numFmtId="4">
    <oc r="E75">
      <f>3.5+5</f>
    </oc>
    <nc r="E75">
      <v>56</v>
    </nc>
  </rcc>
  <rcc rId="17244" sId="4" numFmtId="4">
    <nc r="D87">
      <v>3</v>
    </nc>
  </rcc>
  <rcc rId="17245" sId="4" numFmtId="4">
    <nc r="E87">
      <v>21</v>
    </nc>
  </rcc>
  <rcc rId="17246" sId="4" numFmtId="4">
    <oc r="D128">
      <v>2</v>
    </oc>
    <nc r="D128">
      <v>4</v>
    </nc>
  </rcc>
  <rcc rId="17247" sId="4" numFmtId="4">
    <oc r="D126">
      <v>6</v>
    </oc>
    <nc r="D126">
      <v>9</v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'октябрь 2014г'!$C$21:$C$246</formula>
    <oldFormula>'октябрь 2014г'!$C$21:$C$246</oldFormula>
  </rdn>
  <rdn rId="0" localSheetId="3" customView="1" name="Z_A743F9C7_8B89_4E8F_B91F_1FFB859064F2_.wvu.Rows" hidden="1" oldHidden="1">
    <formula>'октябрь 2014г. по 6-10'!$2:$12</formula>
    <oldFormula>'октябрь 2014г. по 6-10'!$2:$12</oldFormula>
  </rdn>
  <rdn rId="0" localSheetId="3" customView="1" name="Z_A743F9C7_8B89_4E8F_B91F_1FFB859064F2_.wvu.FilterData" hidden="1" oldHidden="1">
    <formula>'октябрь 2014г. по 6-10'!$C$21:$C$130</formula>
    <oldFormula>'октябрь 2014г. по 6-10'!$C$21:$C$130</oldFormula>
  </rdn>
  <rdn rId="0" localSheetId="4" customView="1" name="Z_A743F9C7_8B89_4E8F_B91F_1FFB859064F2_.wvu.Rows" hidden="1" oldHidden="1">
    <formula>'октябрь 2014г. по 0,4'!$2:$12</formula>
    <oldFormula>'октябрь 2014г. по 0,4'!$2:$12</oldFormula>
  </rdn>
  <rdn rId="0" localSheetId="4" customView="1" name="Z_A743F9C7_8B89_4E8F_B91F_1FFB859064F2_.wvu.FilterData" hidden="1" oldHidden="1">
    <formula>'октябрь 2014г. по 0,4'!$C$18:$C$127</formula>
    <oldFormula>'октябрь 2014г. по 0,4'!$C$18:$C$127</oldFormula>
  </rdn>
  <rcv guid="{A743F9C7-8B89-4E8F-B91F-1FFB859064F2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16789" sId="3" numFmtId="4">
    <oc r="K215">
      <v>25</v>
    </oc>
    <nc r="K215">
      <v>25.2</v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'сентябрь 2014г'!$C$21:$C$246</formula>
    <oldFormula>'сентябрь 2014г'!$C$21:$C$246</oldFormula>
  </rdn>
  <rdn rId="0" localSheetId="3" customView="1" name="Z_A743F9C7_8B89_4E8F_B91F_1FFB859064F2_.wvu.Rows" hidden="1" oldHidden="1">
    <formula>'сентябрь 2014г. по 6-10'!$2:$12</formula>
    <oldFormula>'сентябрь 2014г. по 6-10'!$2:$12</oldFormula>
  </rdn>
  <rdn rId="0" localSheetId="3" customView="1" name="Z_A743F9C7_8B89_4E8F_B91F_1FFB859064F2_.wvu.FilterData" hidden="1" oldHidden="1">
    <formula>'сентябрь 2014г. по 6-10'!$C$21:$C$130</formula>
    <oldFormula>'сентябрь 2014г. по 6-10'!$C$21:$C$130</oldFormula>
  </rdn>
  <rdn rId="0" localSheetId="4" customView="1" name="Z_A743F9C7_8B89_4E8F_B91F_1FFB859064F2_.wvu.Rows" hidden="1" oldHidden="1">
    <formula>'сентябрь 2014г. по 0,4'!$2:$12</formula>
    <oldFormula>'сентябрь 2014г. по 0,4'!$2:$12</oldFormula>
  </rdn>
  <rdn rId="0" localSheetId="4" customView="1" name="Z_A743F9C7_8B89_4E8F_B91F_1FFB859064F2_.wvu.FilterData" hidden="1" oldHidden="1">
    <formula>'сентябрь 2014г. по 0,4'!$C$18:$C$127</formula>
    <oldFormula>'сентябрь 2014г. по 0,4'!$C$18:$C$127</oldFormula>
  </rdn>
  <rcv guid="{A743F9C7-8B89-4E8F-B91F-1FFB859064F2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c rId="16454" sId="4">
    <oc r="C248" t="inlineStr">
      <is>
        <t>раисаткины</t>
      </is>
    </oc>
    <nc r="C248"/>
  </rcc>
  <rcc rId="16455" sId="4">
    <oc r="D248">
      <v>973</v>
    </oc>
    <nc r="D248"/>
  </rcc>
  <rcc rId="16456" sId="4">
    <oc r="E248">
      <v>7680</v>
    </oc>
    <nc r="E248"/>
  </rcc>
  <rcc rId="16457" sId="4">
    <oc r="C249" t="inlineStr">
      <is>
        <t>мои</t>
      </is>
    </oc>
    <nc r="C249"/>
  </rcc>
  <rcc rId="16458" sId="4">
    <oc r="D250">
      <f>D243+D249-D248</f>
    </oc>
    <nc r="D250"/>
  </rcc>
  <rcc rId="16459" sId="4">
    <oc r="E250">
      <v>10472.799999999999</v>
    </oc>
    <nc r="E250"/>
  </rcc>
  <rcc rId="16460" sId="4">
    <oc r="D251">
      <v>5</v>
    </oc>
    <nc r="D251"/>
  </rcc>
  <rcc rId="16461" sId="4">
    <oc r="E251">
      <f>E250-E243</f>
    </oc>
    <nc r="E251"/>
  </rcc>
  <rcc rId="16462" sId="4">
    <oc r="D249">
      <v>62</v>
    </oc>
    <nc r="D249">
      <v>1413</v>
    </nc>
  </rcc>
  <rcc rId="16463" sId="4">
    <oc r="E249">
      <v>686.5</v>
    </oc>
    <nc r="E249">
      <v>11409</v>
    </nc>
  </rcc>
  <rcc rId="16464" sId="4">
    <nc r="F249">
      <v>973</v>
    </nc>
  </rcc>
  <rcc rId="16465" sId="4">
    <nc r="G249">
      <v>7680</v>
    </nc>
  </rcc>
  <rfmt sheetId="4" sqref="G249">
    <dxf>
      <fill>
        <patternFill patternType="none">
          <fgColor indexed="64"/>
          <bgColor indexed="65"/>
        </patternFill>
      </fill>
    </dxf>
  </rfmt>
  <rcc rId="16466" sId="4">
    <nc r="J249">
      <v>1596</v>
    </nc>
  </rcc>
  <rcc rId="16467" sId="4">
    <nc r="K249">
      <v>10823.1</v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'сентябрь 2014г'!$C$21:$C$246</formula>
    <oldFormula>'сентябрь 2014г'!$C$21:$C$246</oldFormula>
  </rdn>
  <rdn rId="0" localSheetId="3" customView="1" name="Z_A743F9C7_8B89_4E8F_B91F_1FFB859064F2_.wvu.Rows" hidden="1" oldHidden="1">
    <formula>'сентябрь 2014г. по 6-10'!$2:$12</formula>
    <oldFormula>'сентябрь 2014г. по 6-10'!$2:$12</oldFormula>
  </rdn>
  <rdn rId="0" localSheetId="3" customView="1" name="Z_A743F9C7_8B89_4E8F_B91F_1FFB859064F2_.wvu.FilterData" hidden="1" oldHidden="1">
    <formula>'сентябрь 2014г. по 6-10'!$C$21:$C$130</formula>
    <oldFormula>'сентябрь 2014г. по 6-10'!$C$21:$C$130</oldFormula>
  </rdn>
  <rdn rId="0" localSheetId="4" customView="1" name="Z_A743F9C7_8B89_4E8F_B91F_1FFB859064F2_.wvu.Rows" hidden="1" oldHidden="1">
    <formula>'сентябрь 2014г. по 0,4'!$2:$12</formula>
    <oldFormula>'сентябрь 2014г. по 0,4'!$2:$12</oldFormula>
  </rdn>
  <rdn rId="0" localSheetId="4" customView="1" name="Z_A743F9C7_8B89_4E8F_B91F_1FFB859064F2_.wvu.FilterData" hidden="1" oldHidden="1">
    <formula>'сентябрь 2014г. по 0,4'!$C$18:$C$127</formula>
    <oldFormula>'сентябрь 2014г. по 0,4'!$C$18:$C$127</oldFormula>
  </rdn>
  <rcv guid="{A743F9C7-8B89-4E8F-B91F-1FFB859064F2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'сентябрь 2014г'!$C$21:$C$246</formula>
    <oldFormula>'сентябрь 2014г'!$C$21:$C$246</oldFormula>
  </rdn>
  <rdn rId="0" localSheetId="3" customView="1" name="Z_A743F9C7_8B89_4E8F_B91F_1FFB859064F2_.wvu.Rows" hidden="1" oldHidden="1">
    <formula>'сентябрь 2014г. по 6-10'!$2:$12</formula>
    <oldFormula>'сентябрь 2014г. по 6-10'!$2:$12</oldFormula>
  </rdn>
  <rdn rId="0" localSheetId="3" customView="1" name="Z_A743F9C7_8B89_4E8F_B91F_1FFB859064F2_.wvu.FilterData" hidden="1" oldHidden="1">
    <formula>'сентябрь 2014г. по 6-10'!$C$21:$C$130</formula>
    <oldFormula>'сентябрь 2014г. по 6-10'!$C$21:$C$130</oldFormula>
  </rdn>
  <rdn rId="0" localSheetId="4" customView="1" name="Z_A743F9C7_8B89_4E8F_B91F_1FFB859064F2_.wvu.Rows" hidden="1" oldHidden="1">
    <formula>'сентябрь 2014г. по 0,4'!$2:$12</formula>
    <oldFormula>'сентябрь 2014г. по 0,4'!$2:$12</oldFormula>
  </rdn>
  <rdn rId="0" localSheetId="4" customView="1" name="Z_A743F9C7_8B89_4E8F_B91F_1FFB859064F2_.wvu.FilterData" hidden="1" oldHidden="1">
    <formula>'сентябрь 2014г. по 0,4'!$C$18:$C$127</formula>
    <oldFormula>'сентябрь 2014г. по 0,4'!$C$18:$C$127</oldFormula>
  </rdn>
  <rcv guid="{A743F9C7-8B89-4E8F-B91F-1FFB859064F2}" action="add"/>
</revisions>
</file>

<file path=xl/revisions/revisionLog171111.xml><?xml version="1.0" encoding="utf-8"?>
<revisions xmlns="http://schemas.openxmlformats.org/spreadsheetml/2006/main" xmlns:r="http://schemas.openxmlformats.org/officeDocument/2006/relationships"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'сентябрь 2014г'!$C$21:$C$246</formula>
    <oldFormula>'сентябрь 2014г'!$C$21:$C$246</oldFormula>
  </rdn>
  <rdn rId="0" localSheetId="3" customView="1" name="Z_A743F9C7_8B89_4E8F_B91F_1FFB859064F2_.wvu.Rows" hidden="1" oldHidden="1">
    <formula>'сентябрь 2014г. по 6-10'!$2:$12</formula>
    <oldFormula>'сентябрь 2014г. по 6-10'!$2:$12</oldFormula>
  </rdn>
  <rdn rId="0" localSheetId="3" customView="1" name="Z_A743F9C7_8B89_4E8F_B91F_1FFB859064F2_.wvu.FilterData" hidden="1" oldHidden="1">
    <formula>'сентябрь 2014г. по 6-10'!$C$21:$C$130</formula>
    <oldFormula>'сентябрь 2014г. по 6-10'!$C$21:$C$130</oldFormula>
  </rdn>
  <rdn rId="0" localSheetId="4" customView="1" name="Z_A743F9C7_8B89_4E8F_B91F_1FFB859064F2_.wvu.Rows" hidden="1" oldHidden="1">
    <formula>'сентябрь 2014г. по 0,4'!$2:$12</formula>
    <oldFormula>'сентябрь 2014г. по 0,4'!$2:$12</oldFormula>
  </rdn>
  <rdn rId="0" localSheetId="4" customView="1" name="Z_A743F9C7_8B89_4E8F_B91F_1FFB859064F2_.wvu.FilterData" hidden="1" oldHidden="1">
    <formula>'сентябрь 2014г. по 0,4'!$C$18:$C$127</formula>
    <oldFormula>'сентябрь 2014г. по 0,4'!$C$18:$C$127</oldFormula>
  </rdn>
  <rcv guid="{A743F9C7-8B89-4E8F-B91F-1FFB859064F2}" action="add"/>
</revisions>
</file>

<file path=xl/revisions/revisionLog1711111.xml><?xml version="1.0" encoding="utf-8"?>
<revisions xmlns="http://schemas.openxmlformats.org/spreadsheetml/2006/main" xmlns:r="http://schemas.openxmlformats.org/officeDocument/2006/relationships"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'сентябрь 2014г'!$C$21:$C$246</formula>
    <oldFormula>'сентябрь 2014г'!$C$21:$C$246</oldFormula>
  </rdn>
  <rdn rId="0" localSheetId="3" customView="1" name="Z_A743F9C7_8B89_4E8F_B91F_1FFB859064F2_.wvu.Rows" hidden="1" oldHidden="1">
    <formula>'сентябрь 2014г. по 6-10'!$2:$12</formula>
    <oldFormula>'сентябрь 2014г. по 6-10'!$2:$12</oldFormula>
  </rdn>
  <rdn rId="0" localSheetId="3" customView="1" name="Z_A743F9C7_8B89_4E8F_B91F_1FFB859064F2_.wvu.FilterData" hidden="1" oldHidden="1">
    <formula>'сентябрь 2014г. по 6-10'!$C$21:$C$130</formula>
    <oldFormula>'сентябрь 2014г. по 6-10'!$C$21:$C$130</oldFormula>
  </rdn>
  <rdn rId="0" localSheetId="4" customView="1" name="Z_A743F9C7_8B89_4E8F_B91F_1FFB859064F2_.wvu.Rows" hidden="1" oldHidden="1">
    <formula>'сентябрь 2014г. по 0,4'!$2:$12</formula>
    <oldFormula>'сентябрь 2014г. по 0,4'!$2:$12</oldFormula>
  </rdn>
  <rdn rId="0" localSheetId="4" customView="1" name="Z_A743F9C7_8B89_4E8F_B91F_1FFB859064F2_.wvu.FilterData" hidden="1" oldHidden="1">
    <formula>'сентябрь 2014г. по 0,4'!$C$18:$C$127</formula>
    <oldFormula>'сентябрь 2014г. по 0,4'!$C$18:$C$127</oldFormula>
  </rdn>
  <rcv guid="{A743F9C7-8B89-4E8F-B91F-1FFB859064F2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17156" sId="1">
    <nc r="D252">
      <f>D251-D246</f>
    </nc>
  </rcc>
  <rcc rId="17157" sId="1">
    <nc r="E252">
      <f>E251-E246</f>
    </nc>
  </rcc>
  <rcc rId="17158" sId="1">
    <nc r="F252">
      <f>F251-F246</f>
    </nc>
  </rcc>
  <rcc rId="17159" sId="1">
    <nc r="G252">
      <f>G251-G246</f>
    </nc>
  </rcc>
  <rcc rId="17160" sId="3">
    <nc r="D252">
      <f>D251-D246</f>
    </nc>
  </rcc>
  <rcc rId="17161" sId="3">
    <nc r="D251">
      <v>515</v>
    </nc>
  </rcc>
  <rcc rId="17162" sId="3">
    <nc r="E252">
      <f>E251-E246</f>
    </nc>
  </rcc>
  <rcc rId="17163" sId="3">
    <nc r="E251">
      <v>60687</v>
    </nc>
  </rcc>
  <rcc rId="17164" sId="3">
    <nc r="F251">
      <v>336</v>
    </nc>
  </rcc>
  <rcc rId="17165" sId="3">
    <nc r="F252">
      <f>F251-F246</f>
    </nc>
  </rcc>
  <rcc rId="17166" sId="3">
    <nc r="G252">
      <f>G251-G246</f>
    </nc>
  </rcc>
  <rcc rId="17167" sId="3">
    <nc r="G251">
      <v>21892</v>
    </nc>
  </rcc>
  <rfmt sheetId="1" sqref="E254" start="0" length="0">
    <dxf>
      <numFmt numFmtId="3" formatCode="#,##0"/>
    </dxf>
  </rfmt>
  <rfmt sheetId="1" sqref="F254" start="0" length="0">
    <dxf>
      <numFmt numFmtId="3" formatCode="#,##0"/>
    </dxf>
  </rfmt>
  <rfmt sheetId="1" sqref="G254" start="0" length="0">
    <dxf>
      <numFmt numFmtId="3" formatCode="#,##0"/>
    </dxf>
  </rfmt>
  <rcc rId="17168" sId="4">
    <nc r="D248">
      <v>1696</v>
    </nc>
  </rcc>
  <rcc rId="17169" sId="4">
    <nc r="E248">
      <v>13149</v>
    </nc>
  </rcc>
  <rcc rId="17170" sId="4">
    <nc r="F248">
      <v>1044</v>
    </nc>
  </rcc>
  <rcc rId="17171" sId="4">
    <nc r="G248">
      <v>8179</v>
    </nc>
  </rcc>
  <rcc rId="17172" sId="4">
    <nc r="D250">
      <f>D248-D243</f>
    </nc>
  </rcc>
  <rcc rId="17173" sId="4">
    <nc r="E250">
      <f>E248-E243</f>
    </nc>
  </rcc>
  <rcc rId="17174" sId="4">
    <nc r="F250">
      <f>F248-F243</f>
    </nc>
  </rcc>
  <rcc rId="17175" sId="4">
    <nc r="G250">
      <f>G248-G243</f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'октябрь 2014г'!$C$21:$C$246</formula>
    <oldFormula>'октябрь 2014г'!$C$21:$C$246</oldFormula>
  </rdn>
  <rdn rId="0" localSheetId="3" customView="1" name="Z_A743F9C7_8B89_4E8F_B91F_1FFB859064F2_.wvu.Rows" hidden="1" oldHidden="1">
    <formula>'октябрь 2014г. по 6-10'!$2:$12</formula>
    <oldFormula>'октябрь 2014г. по 6-10'!$2:$12</oldFormula>
  </rdn>
  <rdn rId="0" localSheetId="3" customView="1" name="Z_A743F9C7_8B89_4E8F_B91F_1FFB859064F2_.wvu.FilterData" hidden="1" oldHidden="1">
    <formula>'октябрь 2014г. по 6-10'!$C$21:$C$130</formula>
    <oldFormula>'октябрь 2014г. по 6-10'!$C$21:$C$130</oldFormula>
  </rdn>
  <rdn rId="0" localSheetId="4" customView="1" name="Z_A743F9C7_8B89_4E8F_B91F_1FFB859064F2_.wvu.Rows" hidden="1" oldHidden="1">
    <formula>'октябрь 2014г. по 0,4'!$2:$12</formula>
    <oldFormula>'октябрь 2014г. по 0,4'!$2:$12</oldFormula>
  </rdn>
  <rdn rId="0" localSheetId="4" customView="1" name="Z_A743F9C7_8B89_4E8F_B91F_1FFB859064F2_.wvu.FilterData" hidden="1" oldHidden="1">
    <formula>'октябрь 2014г. по 0,4'!$C$18:$C$127</formula>
    <oldFormula>'октябрь 2014г. по 0,4'!$C$18:$C$127</oldFormula>
  </rdn>
  <rcv guid="{A743F9C7-8B89-4E8F-B91F-1FFB859064F2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'сентябрь 2014г'!$C$21:$C$246</formula>
    <oldFormula>'сентябрь 2014г'!$C$21:$C$246</oldFormula>
  </rdn>
  <rdn rId="0" localSheetId="3" customView="1" name="Z_A743F9C7_8B89_4E8F_B91F_1FFB859064F2_.wvu.Rows" hidden="1" oldHidden="1">
    <formula>'сентябрь 2014г. по 6-10'!$2:$12</formula>
    <oldFormula>'сентябрь 2014г. по 6-10'!$2:$12</oldFormula>
  </rdn>
  <rdn rId="0" localSheetId="3" customView="1" name="Z_A743F9C7_8B89_4E8F_B91F_1FFB859064F2_.wvu.FilterData" hidden="1" oldHidden="1">
    <formula>'сентябрь 2014г. по 6-10'!$C$21:$C$130</formula>
    <oldFormula>'сентябрь 2014г. по 6-10'!$C$21:$C$130</oldFormula>
  </rdn>
  <rdn rId="0" localSheetId="4" customView="1" name="Z_A743F9C7_8B89_4E8F_B91F_1FFB859064F2_.wvu.Rows" hidden="1" oldHidden="1">
    <formula>'сентябрь 2014г. по 0,4'!$2:$12</formula>
    <oldFormula>'сентябрь 2014г. по 0,4'!$2:$12</oldFormula>
  </rdn>
  <rdn rId="0" localSheetId="4" customView="1" name="Z_A743F9C7_8B89_4E8F_B91F_1FFB859064F2_.wvu.FilterData" hidden="1" oldHidden="1">
    <formula>'сентябрь 2014г. по 0,4'!$C$18:$C$127</formula>
    <oldFormula>'сентябрь 2014г. по 0,4'!$C$18:$C$127</oldFormula>
  </rdn>
  <rcv guid="{A743F9C7-8B89-4E8F-B91F-1FFB859064F2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c rId="16352" sId="4" odxf="1" dxf="1">
    <nc r="D250">
      <f>D243+D249-D248</f>
    </nc>
    <odxf>
      <numFmt numFmtId="0" formatCode="General"/>
    </odxf>
    <ndxf>
      <numFmt numFmtId="3" formatCode="#,##0"/>
    </ndxf>
  </rcc>
  <rcc rId="16353" sId="4" numFmtId="4">
    <nc r="D185">
      <v>10</v>
    </nc>
  </rcc>
  <rcc rId="16354" sId="4" numFmtId="4">
    <nc r="D187">
      <v>8</v>
    </nc>
  </rcc>
  <rcc rId="16355" sId="4" numFmtId="4">
    <nc r="D188">
      <v>9</v>
    </nc>
  </rcc>
  <rcc rId="16356" sId="4" numFmtId="4">
    <nc r="D189">
      <v>5</v>
    </nc>
  </rcc>
  <rcc rId="16357" sId="4" numFmtId="4">
    <nc r="D190">
      <v>11</v>
    </nc>
  </rcc>
  <rcc rId="16358" sId="4" numFmtId="4">
    <nc r="D191">
      <v>4</v>
    </nc>
  </rcc>
  <rcc rId="16359" sId="4">
    <nc r="E250">
      <v>10472.799999999999</v>
    </nc>
  </rcc>
  <rcc rId="16360" sId="4" numFmtId="4">
    <nc r="E185">
      <v>98</v>
    </nc>
  </rcc>
  <rcc rId="16361" sId="4" numFmtId="4">
    <nc r="F185">
      <v>10</v>
    </nc>
  </rcc>
  <rcc rId="16362" sId="4" numFmtId="4">
    <nc r="G185">
      <v>98</v>
    </nc>
  </rcc>
  <rcc rId="16363" sId="4" numFmtId="4">
    <nc r="E187">
      <v>80</v>
    </nc>
  </rcc>
  <rcc rId="16364" sId="4" numFmtId="4">
    <nc r="F187">
      <v>8</v>
    </nc>
  </rcc>
  <rcc rId="16365" sId="4" numFmtId="4">
    <nc r="G187">
      <v>80</v>
    </nc>
  </rcc>
  <rcc rId="16366" sId="4" numFmtId="4">
    <nc r="E188">
      <v>93</v>
    </nc>
  </rcc>
  <rcc rId="16367" sId="4" numFmtId="4">
    <nc r="F188">
      <v>9</v>
    </nc>
  </rcc>
  <rcc rId="16368" sId="4" numFmtId="4">
    <nc r="G188">
      <v>93</v>
    </nc>
  </rcc>
  <rcc rId="16369" sId="4" numFmtId="4">
    <nc r="E189">
      <v>45</v>
    </nc>
  </rcc>
  <rcc rId="16370" sId="4" numFmtId="4">
    <nc r="F189">
      <v>5</v>
    </nc>
  </rcc>
  <rcc rId="16371" sId="4" numFmtId="4">
    <nc r="G189">
      <v>45</v>
    </nc>
  </rcc>
  <rcc rId="16372" sId="4" numFmtId="4">
    <nc r="E190">
      <v>99.5</v>
    </nc>
  </rcc>
  <rcc rId="16373" sId="4" numFmtId="4">
    <nc r="F190">
      <v>11</v>
    </nc>
  </rcc>
  <rcc rId="16374" sId="4" numFmtId="4">
    <nc r="G190">
      <v>99.5</v>
    </nc>
  </rcc>
  <rcc rId="16375" sId="4" odxf="1" dxf="1">
    <nc r="E251">
      <f>E250-E243</f>
    </nc>
    <odxf>
      <numFmt numFmtId="0" formatCode="General"/>
    </odxf>
    <ndxf>
      <numFmt numFmtId="4" formatCode="#,##0.00"/>
    </ndxf>
  </rcc>
  <rcc rId="16376" sId="4" numFmtId="4">
    <oc r="D184">
      <v>2</v>
    </oc>
    <nc r="D184">
      <v>12</v>
    </nc>
  </rcc>
  <rcc rId="16377" sId="4" numFmtId="4">
    <nc r="D186">
      <v>5</v>
    </nc>
  </rcc>
  <rcc rId="16378" sId="4" numFmtId="4">
    <nc r="F186">
      <v>5</v>
    </nc>
  </rcc>
  <rcc rId="16379" sId="4" numFmtId="4">
    <nc r="E186">
      <v>75</v>
    </nc>
  </rcc>
  <rcc rId="16380" sId="4" numFmtId="4">
    <nc r="G186">
      <v>75</v>
    </nc>
  </rcc>
  <rcc rId="16381" sId="4" numFmtId="4">
    <oc r="E184">
      <f>8+6</f>
    </oc>
    <nc r="E184">
      <v>180</v>
    </nc>
  </rcc>
  <rcc rId="16382" sId="4" numFmtId="4">
    <oc r="F184">
      <v>2</v>
    </oc>
    <nc r="F184">
      <v>12</v>
    </nc>
  </rcc>
  <rcc rId="16383" sId="4" numFmtId="4">
    <oc r="G184">
      <v>14</v>
    </oc>
    <nc r="G184">
      <v>180</v>
    </nc>
  </rcc>
  <rcc rId="16384" sId="4" numFmtId="4">
    <nc r="E191">
      <v>30</v>
    </nc>
  </rcc>
  <rcc rId="16385" sId="4" numFmtId="4">
    <nc r="F191">
      <v>4</v>
    </nc>
  </rcc>
  <rcc rId="16386" sId="4" numFmtId="4">
    <nc r="G191">
      <v>30</v>
    </nc>
  </rcc>
  <rcc rId="16387" sId="4">
    <nc r="C248" t="inlineStr">
      <is>
        <t>раисаткины</t>
      </is>
    </nc>
  </rcc>
  <rcc rId="16388" sId="4">
    <nc r="C249" t="inlineStr">
      <is>
        <t>мои</t>
      </is>
    </nc>
  </rcc>
  <rcc rId="16389" sId="3">
    <nc r="C251" t="inlineStr">
      <is>
        <t>раисаткины</t>
      </is>
    </nc>
  </rcc>
  <rcc rId="16390" sId="3">
    <nc r="C252" t="inlineStr">
      <is>
        <t>мои</t>
      </is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'сентябрь 2014г'!$C$21:$C$246</formula>
    <oldFormula>'сентябрь 2014г'!$C$21:$C$246</oldFormula>
  </rdn>
  <rdn rId="0" localSheetId="3" customView="1" name="Z_A743F9C7_8B89_4E8F_B91F_1FFB859064F2_.wvu.Rows" hidden="1" oldHidden="1">
    <formula>'сентябрь 2014г. по 6-10'!$2:$12</formula>
    <oldFormula>'сентябрь 2014г. по 6-10'!$2:$12</oldFormula>
  </rdn>
  <rdn rId="0" localSheetId="3" customView="1" name="Z_A743F9C7_8B89_4E8F_B91F_1FFB859064F2_.wvu.FilterData" hidden="1" oldHidden="1">
    <formula>'сентябрь 2014г. по 6-10'!$C$21:$C$130</formula>
    <oldFormula>'сентябрь 2014г. по 6-10'!$C$21:$C$130</oldFormula>
  </rdn>
  <rdn rId="0" localSheetId="4" customView="1" name="Z_A743F9C7_8B89_4E8F_B91F_1FFB859064F2_.wvu.Rows" hidden="1" oldHidden="1">
    <formula>'сентябрь 2014г. по 0,4'!$2:$12</formula>
    <oldFormula>'сентябрь 2014г. по 0,4'!$2:$12</oldFormula>
  </rdn>
  <rdn rId="0" localSheetId="4" customView="1" name="Z_A743F9C7_8B89_4E8F_B91F_1FFB859064F2_.wvu.FilterData" hidden="1" oldHidden="1">
    <formula>'сентябрь 2014г. по 0,4'!$C$18:$C$127</formula>
    <oldFormula>'сентябрь 2014г. по 0,4'!$C$18:$C$127</oldFormula>
  </rdn>
  <rcv guid="{A743F9C7-8B89-4E8F-B91F-1FFB859064F2}" action="add"/>
</revisions>
</file>

<file path=xl/revisions/revisionLog18111.xml><?xml version="1.0" encoding="utf-8"?>
<revisions xmlns="http://schemas.openxmlformats.org/spreadsheetml/2006/main" xmlns:r="http://schemas.openxmlformats.org/officeDocument/2006/relationships">
  <rcc rId="16248" sId="4" numFmtId="4">
    <oc r="D23">
      <v>0</v>
    </oc>
    <nc r="D23">
      <v>1</v>
    </nc>
  </rcc>
  <rcc rId="16249" sId="4" numFmtId="4">
    <oc r="E23">
      <v>0</v>
    </oc>
    <nc r="E23">
      <v>100</v>
    </nc>
  </rcc>
  <rcc rId="16250" sId="4" numFmtId="4">
    <oc r="F23">
      <v>0</v>
    </oc>
    <nc r="F23">
      <v>1</v>
    </nc>
  </rcc>
  <rcc rId="16251" sId="4" numFmtId="4">
    <oc r="G23">
      <v>0</v>
    </oc>
    <nc r="G23">
      <v>100</v>
    </nc>
  </rcc>
  <rcc rId="16252" sId="4" numFmtId="4">
    <oc r="D45">
      <v>17</v>
    </oc>
    <nc r="D45">
      <v>18</v>
    </nc>
  </rcc>
  <rcc rId="16253" sId="4">
    <oc r="E45">
      <f>15+10+10+13+6+10+15+15+15+15+15+8+10+10+12+15</f>
    </oc>
    <nc r="E45">
      <f>15+10+10+13+6+10+15+15+15+15+15+8+10+10+12+15+10</f>
    </nc>
  </rcc>
  <rcc rId="16254" sId="4" numFmtId="4">
    <oc r="F45">
      <v>17</v>
    </oc>
    <nc r="F45">
      <v>18</v>
    </nc>
  </rcc>
  <rcc rId="16255" sId="4" numFmtId="4">
    <oc r="G45">
      <v>194</v>
    </oc>
    <nc r="G45">
      <v>204</v>
    </nc>
  </rcc>
  <rcc rId="16256" sId="4">
    <oc r="D33">
      <v>35</v>
    </oc>
    <nc r="D33">
      <v>37</v>
    </nc>
  </rcc>
  <rcc rId="16257" sId="4">
    <oc r="E33">
      <f>5.5+15+6+4+10+10+6+6+15+10+8+5+6+5+4+12+12+5+5+5+11+14+10+8+12+10+12+13+10+20+9+10+15+6+9</f>
    </oc>
    <nc r="E33">
      <f>5.5+15+6+4+10+10+6+6+15+10+8+5+6+5+4+12+12+5+5+5+11+14+10+8+12+10+12+13+10+20+9+10+15+6+9+15+2</f>
    </nc>
  </rcc>
  <rcc rId="16258" sId="4">
    <oc r="F33">
      <v>35</v>
    </oc>
    <nc r="F33">
      <v>37</v>
    </nc>
  </rcc>
  <rcc rId="16259" sId="4">
    <oc r="G33">
      <v>323.5</v>
    </oc>
    <nc r="G33">
      <v>340.5</v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'сентябрь 2014г'!$C$21:$C$246</formula>
    <oldFormula>'сентябрь 2014г'!$C$21:$C$246</oldFormula>
  </rdn>
  <rdn rId="0" localSheetId="3" customView="1" name="Z_A743F9C7_8B89_4E8F_B91F_1FFB859064F2_.wvu.Rows" hidden="1" oldHidden="1">
    <formula>'сентябрь 2014г. по 6-10'!$2:$12</formula>
    <oldFormula>'сентябрь 2014г. по 6-10'!$2:$12</oldFormula>
  </rdn>
  <rdn rId="0" localSheetId="3" customView="1" name="Z_A743F9C7_8B89_4E8F_B91F_1FFB859064F2_.wvu.FilterData" hidden="1" oldHidden="1">
    <formula>'сентябрь 2014г. по 6-10'!$C$21:$C$130</formula>
    <oldFormula>'сентябрь 2014г. по 6-10'!$C$21:$C$130</oldFormula>
  </rdn>
  <rdn rId="0" localSheetId="4" customView="1" name="Z_A743F9C7_8B89_4E8F_B91F_1FFB859064F2_.wvu.Rows" hidden="1" oldHidden="1">
    <formula>'сентябрь 2014г. по 0,4'!$2:$12</formula>
    <oldFormula>'сентябрь 2014г. по 0,4'!$2:$12</oldFormula>
  </rdn>
  <rdn rId="0" localSheetId="4" customView="1" name="Z_A743F9C7_8B89_4E8F_B91F_1FFB859064F2_.wvu.FilterData" hidden="1" oldHidden="1">
    <formula>'сентябрь 2014г. по 0,4'!$C$18:$C$127</formula>
    <oldFormula>'сентябрь 2014г. по 0,4'!$C$18:$C$127</oldFormula>
  </rdn>
  <rcv guid="{A743F9C7-8B89-4E8F-B91F-1FFB859064F2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16705" sId="3">
    <oc r="D251">
      <v>493</v>
    </oc>
    <nc r="D251"/>
  </rcc>
  <rcc rId="16706" sId="3">
    <oc r="E251">
      <v>59937</v>
    </oc>
    <nc r="E251"/>
  </rcc>
  <rcc rId="16707" sId="3">
    <oc r="F251">
      <v>322</v>
    </oc>
    <nc r="F251"/>
  </rcc>
  <rcc rId="16708" sId="3">
    <oc r="G251">
      <v>21655.5</v>
    </oc>
    <nc r="G251"/>
  </rcc>
  <rcc rId="16709" sId="3">
    <oc r="D252">
      <f>D246-D251</f>
    </oc>
    <nc r="D252"/>
  </rcc>
  <rcc rId="16710" sId="3">
    <oc r="E252">
      <f>E246-E251</f>
    </oc>
    <nc r="E252"/>
  </rcc>
  <rcc rId="16711" sId="3">
    <oc r="F252">
      <f>F246-F251</f>
    </oc>
    <nc r="F252"/>
  </rcc>
  <rcc rId="16712" sId="3">
    <oc r="G252">
      <f>G246-G251</f>
    </oc>
    <nc r="G252"/>
  </rcc>
  <rcc rId="16713" sId="3" numFmtId="4">
    <oc r="K34">
      <f>15</f>
    </oc>
    <nc r="K34">
      <v>245</v>
    </nc>
  </rcc>
  <rcc rId="16714" sId="3" numFmtId="4">
    <nc r="J26">
      <v>3</v>
    </nc>
  </rcc>
  <rcc rId="16715" sId="3" numFmtId="4">
    <nc r="K26">
      <v>210</v>
    </nc>
  </rcc>
  <rcc rId="16716" sId="3" numFmtId="4">
    <nc r="K39">
      <v>920</v>
    </nc>
  </rcc>
  <rcc rId="16717" sId="3" numFmtId="4">
    <nc r="K40">
      <v>450</v>
    </nc>
  </rcc>
  <rcc rId="16718" sId="3" numFmtId="4">
    <nc r="J38">
      <v>3</v>
    </nc>
  </rcc>
  <rcc rId="16719" sId="3" numFmtId="4">
    <nc r="K38">
      <v>320</v>
    </nc>
  </rcc>
  <rcc rId="16720" sId="3">
    <nc r="K36">
      <v>120</v>
    </nc>
  </rcc>
  <rcc rId="16721" sId="3" numFmtId="4">
    <nc r="J35">
      <v>2</v>
    </nc>
  </rcc>
  <rcc rId="16722" sId="3" numFmtId="4">
    <nc r="K35">
      <v>80</v>
    </nc>
  </rcc>
  <rcc rId="16723" sId="3" odxf="1" dxf="1">
    <nc r="K66">
      <v>940</v>
    </nc>
    <ndxf>
      <numFmt numFmtId="0" formatCode="General"/>
    </ndxf>
  </rcc>
  <rcc rId="16724" sId="3" numFmtId="4">
    <nc r="J67">
      <v>13</v>
    </nc>
  </rcc>
  <rcc rId="16725" sId="3" odxf="1" dxf="1">
    <nc r="K67">
      <v>870</v>
    </nc>
    <ndxf>
      <numFmt numFmtId="0" formatCode="General"/>
    </ndxf>
  </rcc>
  <rfmt sheetId="3" sqref="K68" start="0" length="0">
    <dxf>
      <numFmt numFmtId="0" formatCode="General"/>
    </dxf>
  </rfmt>
  <rfmt sheetId="3" sqref="K69" start="0" length="0">
    <dxf>
      <numFmt numFmtId="0" formatCode="General"/>
    </dxf>
  </rfmt>
  <rfmt sheetId="3" sqref="K70" start="0" length="0">
    <dxf>
      <numFmt numFmtId="0" formatCode="General"/>
    </dxf>
  </rfmt>
  <rfmt sheetId="3" sqref="K71" start="0" length="0">
    <dxf>
      <numFmt numFmtId="0" formatCode="General"/>
    </dxf>
  </rfmt>
  <rfmt sheetId="3" sqref="K72" start="0" length="0">
    <dxf>
      <numFmt numFmtId="0" formatCode="General"/>
    </dxf>
  </rfmt>
  <rfmt sheetId="3" sqref="K73" start="0" length="0">
    <dxf>
      <numFmt numFmtId="0" formatCode="General"/>
    </dxf>
  </rfmt>
  <rcc rId="16726" sId="3" odxf="1" dxf="1">
    <nc r="K74">
      <v>420</v>
    </nc>
    <ndxf>
      <numFmt numFmtId="0" formatCode="General"/>
    </ndxf>
  </rcc>
  <rfmt sheetId="3" sqref="K75" start="0" length="0">
    <dxf>
      <numFmt numFmtId="0" formatCode="General"/>
    </dxf>
  </rfmt>
  <rfmt sheetId="3" sqref="K76" start="0" length="0">
    <dxf>
      <numFmt numFmtId="0" formatCode="General"/>
    </dxf>
  </rfmt>
  <rfmt sheetId="3" sqref="K77" start="0" length="0">
    <dxf>
      <numFmt numFmtId="0" formatCode="General"/>
    </dxf>
  </rfmt>
  <rfmt sheetId="3" sqref="K78" start="0" length="0">
    <dxf>
      <numFmt numFmtId="0" formatCode="General"/>
    </dxf>
  </rfmt>
  <rfmt sheetId="3" sqref="K79" start="0" length="0">
    <dxf>
      <numFmt numFmtId="0" formatCode="General"/>
    </dxf>
  </rfmt>
  <rfmt sheetId="3" sqref="K80" start="0" length="0">
    <dxf>
      <numFmt numFmtId="0" formatCode="General"/>
    </dxf>
  </rfmt>
  <rfmt sheetId="3" sqref="K81" start="0" length="0">
    <dxf>
      <numFmt numFmtId="0" formatCode="General"/>
    </dxf>
  </rfmt>
  <rcc rId="16727" sId="3" numFmtId="4">
    <oc r="J81">
      <v>1</v>
    </oc>
    <nc r="J81">
      <v>2</v>
    </nc>
  </rcc>
  <rcc rId="16728" sId="3">
    <oc r="K81">
      <v>8</v>
    </oc>
    <nc r="K81">
      <v>160</v>
    </nc>
  </rcc>
  <rcc rId="16729" sId="3" numFmtId="4">
    <nc r="K104">
      <v>740</v>
    </nc>
  </rcc>
  <rcc rId="16730" sId="3" numFmtId="4">
    <nc r="J105">
      <v>9</v>
    </nc>
  </rcc>
  <rcc rId="16731" sId="3" numFmtId="4">
    <nc r="K105">
      <v>355</v>
    </nc>
  </rcc>
  <rcc rId="16732" sId="3" numFmtId="4">
    <nc r="K106">
      <v>240</v>
    </nc>
  </rcc>
  <rcc rId="16733" sId="3" numFmtId="4">
    <nc r="J118">
      <v>1</v>
    </nc>
  </rcc>
  <rcc rId="16734" sId="3" numFmtId="4">
    <nc r="K204">
      <v>310</v>
    </nc>
  </rcc>
  <rcc rId="16735" sId="3" numFmtId="4">
    <nc r="K208">
      <v>120</v>
    </nc>
  </rcc>
  <rcc rId="16736" sId="3" numFmtId="4">
    <nc r="K155">
      <v>356</v>
    </nc>
  </rcc>
  <rcc rId="16737" sId="3" numFmtId="4">
    <nc r="K156">
      <v>215</v>
    </nc>
  </rcc>
  <rcc rId="16738" sId="3" numFmtId="4">
    <nc r="J162">
      <v>1</v>
    </nc>
  </rcc>
  <rcc rId="16739" sId="3" numFmtId="4">
    <nc r="K162">
      <v>63</v>
    </nc>
  </rcc>
  <rcc rId="16740" sId="3" numFmtId="4">
    <oc r="K117">
      <f>15</f>
    </oc>
    <nc r="K117">
      <v>740</v>
    </nc>
  </rcc>
  <rcc rId="16741" sId="3" numFmtId="4">
    <nc r="K118">
      <v>40</v>
    </nc>
  </rcc>
  <rcc rId="16742" sId="3" numFmtId="4">
    <nc r="J131">
      <v>6</v>
    </nc>
  </rcc>
  <rcc rId="16743" sId="3" numFmtId="4">
    <nc r="K131">
      <v>165</v>
    </nc>
  </rcc>
  <rcc rId="16744" sId="3" numFmtId="4">
    <nc r="J132">
      <v>4</v>
    </nc>
  </rcc>
  <rcc rId="16745" sId="3" numFmtId="4">
    <nc r="K132">
      <v>170</v>
    </nc>
  </rcc>
  <rcc rId="16746" sId="3" numFmtId="4">
    <nc r="J106">
      <v>6</v>
    </nc>
  </rcc>
  <rcc rId="16747" sId="3" numFmtId="4">
    <nc r="J74">
      <v>5</v>
    </nc>
  </rcc>
  <rcc rId="16748" sId="3" numFmtId="4">
    <nc r="J66">
      <v>19</v>
    </nc>
  </rcc>
  <rcc rId="16749" sId="3" numFmtId="4">
    <nc r="J53">
      <v>3</v>
    </nc>
  </rcc>
  <rcc rId="16750" sId="3" numFmtId="4">
    <nc r="K53">
      <v>80</v>
    </nc>
  </rcc>
  <rcc rId="16751" sId="3">
    <nc r="J49">
      <v>4</v>
    </nc>
  </rcc>
  <rcc rId="16752" sId="3">
    <nc r="K49">
      <v>135</v>
    </nc>
  </rcc>
  <rcc rId="16753" sId="3">
    <nc r="J36">
      <v>3</v>
    </nc>
  </rcc>
  <rcc rId="16754" sId="3" numFmtId="4">
    <nc r="J40">
      <v>8</v>
    </nc>
  </rcc>
  <rcc rId="16755" sId="3" numFmtId="4">
    <nc r="J39">
      <v>13</v>
    </nc>
  </rcc>
  <rcc rId="16756" sId="3" numFmtId="4">
    <oc r="J34">
      <v>1</v>
    </oc>
    <nc r="J34">
      <v>9</v>
    </nc>
  </rcc>
  <rcc rId="16757" sId="3" numFmtId="4">
    <nc r="J214">
      <v>1</v>
    </nc>
  </rcc>
  <rcc rId="16758" sId="3" numFmtId="4">
    <nc r="K214">
      <v>40</v>
    </nc>
  </rcc>
  <rcc rId="16759" sId="3" numFmtId="4">
    <nc r="J215">
      <v>1</v>
    </nc>
  </rcc>
  <rcc rId="16760" sId="3" numFmtId="4">
    <nc r="K215">
      <v>25</v>
    </nc>
  </rcc>
  <rcc rId="16761" sId="3" numFmtId="4">
    <nc r="J187">
      <v>1</v>
    </nc>
  </rcc>
  <rcc rId="16762" sId="3" numFmtId="4">
    <nc r="K187">
      <v>40</v>
    </nc>
  </rcc>
  <rcc rId="16763" sId="3" numFmtId="4">
    <nc r="J208">
      <v>2</v>
    </nc>
  </rcc>
  <rcc rId="16764" sId="3" numFmtId="4">
    <nc r="J204">
      <v>5</v>
    </nc>
  </rcc>
  <rcc rId="16765" sId="3" numFmtId="4">
    <nc r="J156">
      <v>6</v>
    </nc>
  </rcc>
  <rcc rId="16766" sId="3" numFmtId="4">
    <nc r="J155">
      <v>12</v>
    </nc>
  </rcc>
  <rcc rId="16767" sId="3" numFmtId="4">
    <oc r="J117">
      <v>1</v>
    </oc>
    <nc r="J117">
      <v>19</v>
    </nc>
  </rcc>
  <rcc rId="16768" sId="3" numFmtId="4">
    <nc r="J104">
      <v>13</v>
    </nc>
  </rcc>
  <rcc rId="16769" sId="3" numFmtId="4">
    <nc r="J111">
      <v>1</v>
    </nc>
  </rcc>
  <rcc rId="16770" sId="3" numFmtId="4">
    <nc r="K111">
      <v>40</v>
    </nc>
  </rcc>
  <rcc rId="16771" sId="3" numFmtId="4">
    <nc r="J70">
      <v>1</v>
    </nc>
  </rcc>
  <rcc rId="16772" sId="3">
    <nc r="K70">
      <v>20</v>
    </nc>
  </rcc>
  <rcc rId="16773" sId="3" numFmtId="4">
    <nc r="J225">
      <v>1</v>
    </nc>
  </rcc>
  <rcc rId="16774" sId="3" numFmtId="4">
    <nc r="K225">
      <v>15</v>
    </nc>
  </rcc>
  <rcc rId="16775" sId="3" numFmtId="4">
    <nc r="J42">
      <v>1</v>
    </nc>
  </rcc>
  <rcc rId="16776" sId="3" numFmtId="4">
    <nc r="K42">
      <v>20</v>
    </nc>
  </rcc>
  <rcc rId="16777" sId="3">
    <oc r="J251">
      <v>178</v>
    </oc>
    <nc r="J251"/>
  </rcc>
  <rcc rId="16778" sId="3">
    <oc r="K251">
      <v>8664.2000000000007</v>
    </oc>
    <nc r="K251"/>
  </rcc>
  <rcc rId="16779" sId="3">
    <oc r="H252">
      <f>H246-H251</f>
    </oc>
    <nc r="H252"/>
  </rcc>
  <rcc rId="16780" sId="3">
    <oc r="I252">
      <f>I246-I251</f>
    </oc>
    <nc r="I252"/>
  </rcc>
  <rcc rId="16781" sId="3">
    <oc r="J252">
      <f>J246-J251</f>
    </oc>
    <nc r="J252"/>
  </rcc>
  <rcc rId="16782" sId="3">
    <oc r="K252">
      <f>K246-K251</f>
    </oc>
    <nc r="K252"/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'сентябрь 2014г'!$C$21:$C$246</formula>
    <oldFormula>'сентябрь 2014г'!$C$21:$C$246</oldFormula>
  </rdn>
  <rdn rId="0" localSheetId="3" customView="1" name="Z_A743F9C7_8B89_4E8F_B91F_1FFB859064F2_.wvu.Rows" hidden="1" oldHidden="1">
    <formula>'сентябрь 2014г. по 6-10'!$2:$12</formula>
    <oldFormula>'сентябрь 2014г. по 6-10'!$2:$12</oldFormula>
  </rdn>
  <rdn rId="0" localSheetId="3" customView="1" name="Z_A743F9C7_8B89_4E8F_B91F_1FFB859064F2_.wvu.FilterData" hidden="1" oldHidden="1">
    <formula>'сентябрь 2014г. по 6-10'!$C$21:$C$130</formula>
    <oldFormula>'сентябрь 2014г. по 6-10'!$C$21:$C$130</oldFormula>
  </rdn>
  <rdn rId="0" localSheetId="4" customView="1" name="Z_A743F9C7_8B89_4E8F_B91F_1FFB859064F2_.wvu.Rows" hidden="1" oldHidden="1">
    <formula>'сентябрь 2014г. по 0,4'!$2:$12</formula>
    <oldFormula>'сентябрь 2014г. по 0,4'!$2:$12</oldFormula>
  </rdn>
  <rdn rId="0" localSheetId="4" customView="1" name="Z_A743F9C7_8B89_4E8F_B91F_1FFB859064F2_.wvu.FilterData" hidden="1" oldHidden="1">
    <formula>'сентябрь 2014г. по 0,4'!$C$18:$C$127</formula>
    <oldFormula>'сентябрь 2014г. по 0,4'!$C$18:$C$127</oldFormula>
  </rdn>
  <rcv guid="{A743F9C7-8B89-4E8F-B91F-1FFB859064F2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16307" sId="3" numFmtId="4">
    <oc r="D78">
      <v>2</v>
    </oc>
    <nc r="D78">
      <v>3</v>
    </nc>
  </rcc>
  <rcc rId="16308" sId="3" numFmtId="4">
    <oc r="E78">
      <f>30+15</f>
    </oc>
    <nc r="E78">
      <v>55</v>
    </nc>
  </rcc>
  <rcc rId="16309" sId="3" numFmtId="4">
    <oc r="F78">
      <v>2</v>
    </oc>
    <nc r="F78">
      <v>3</v>
    </nc>
  </rcc>
  <rcc rId="16310" sId="3" numFmtId="4">
    <oc r="G78">
      <v>45</v>
    </oc>
    <nc r="G78">
      <v>55</v>
    </nc>
  </rcc>
  <rcc rId="16311" sId="3" numFmtId="4">
    <oc r="D67">
      <v>10</v>
    </oc>
    <nc r="D67">
      <v>12</v>
    </nc>
  </rcc>
  <rcc rId="16312" sId="3">
    <oc r="E67">
      <f>41+15+15+155+50+15+60+50+250+100</f>
    </oc>
    <nc r="E67">
      <f>41+15+15+155+50+15+60+50+250+100</f>
    </nc>
  </rcc>
  <rcc rId="16313" sId="1">
    <oc r="D252">
      <f>D246-D251</f>
    </oc>
    <nc r="D252">
      <f>D251-D246</f>
    </nc>
  </rcc>
  <rcc rId="16314" sId="1">
    <oc r="E252">
      <f>E246-E251</f>
    </oc>
    <nc r="E252">
      <f>E251-E246</f>
    </nc>
  </rcc>
  <rcc rId="16315" sId="1">
    <oc r="F252">
      <f>F246-F251</f>
    </oc>
    <nc r="F252">
      <f>F251-F246</f>
    </nc>
  </rcc>
  <rcc rId="16316" sId="1">
    <oc r="G252">
      <f>G246-G251</f>
    </oc>
    <nc r="G252">
      <f>G251-G246</f>
    </nc>
  </rcc>
  <rcc rId="16317" sId="1">
    <nc r="D253">
      <v>190</v>
    </nc>
  </rcc>
  <rcc rId="16318" sId="3">
    <nc r="D251">
      <v>493</v>
    </nc>
  </rcc>
  <rcc rId="16319" sId="3">
    <nc r="E251">
      <v>59937</v>
    </nc>
  </rcc>
  <rcc rId="16320" sId="3">
    <nc r="F251">
      <v>322</v>
    </nc>
  </rcc>
  <rcc rId="16321" sId="4">
    <nc r="D248">
      <v>973</v>
    </nc>
  </rcc>
  <rcc rId="16322" sId="4">
    <nc r="E248">
      <v>7680</v>
    </nc>
  </rcc>
  <rfmt sheetId="1" sqref="D254" start="0" length="0">
    <dxf>
      <numFmt numFmtId="3" formatCode="#,##0"/>
    </dxf>
  </rfmt>
  <rcc rId="16323" sId="1">
    <nc r="E253">
      <v>2400</v>
    </nc>
  </rcc>
  <rcc rId="16324" sId="3">
    <nc r="D252">
      <v>38</v>
    </nc>
  </rcc>
  <rcc rId="16325" sId="3">
    <nc r="E252">
      <v>1904</v>
    </nc>
  </rcc>
  <rfmt sheetId="3" sqref="D252:E252">
    <dxf>
      <fill>
        <patternFill patternType="solid">
          <bgColor rgb="FFFFFF00"/>
        </patternFill>
      </fill>
    </dxf>
  </rfmt>
  <rcc rId="16326" sId="4">
    <nc r="E249">
      <v>686.5</v>
    </nc>
  </rcc>
  <rcc rId="16327" sId="4">
    <nc r="D249">
      <v>62</v>
    </nc>
  </rcc>
  <rfmt sheetId="4" sqref="D249:E249">
    <dxf>
      <fill>
        <patternFill patternType="solid">
          <bgColor rgb="FFFFFF00"/>
        </patternFill>
      </fill>
    </dxf>
  </rfmt>
  <rcc rId="16328" sId="3">
    <nc r="D253">
      <v>503</v>
    </nc>
  </rcc>
  <rfmt sheetId="3" sqref="D254" start="0" length="0">
    <dxf>
      <numFmt numFmtId="3" formatCode="#,##0"/>
    </dxf>
  </rfmt>
  <rcc rId="16329" sId="3">
    <nc r="E253">
      <v>33668.800000000003</v>
    </nc>
  </rcc>
  <rfmt sheetId="3" sqref="E254" start="0" length="0">
    <dxf>
      <numFmt numFmtId="4" formatCode="#,##0.00"/>
    </dxf>
  </rfmt>
  <rcc rId="16330" sId="3" numFmtId="4">
    <nc r="D199">
      <v>18</v>
    </nc>
  </rcc>
  <rcc rId="16331" sId="3">
    <nc r="D254">
      <f>D246+D252-D253</f>
    </nc>
  </rcc>
  <rcc rId="16332" sId="3">
    <nc r="E254">
      <f>E246+E252-E253</f>
    </nc>
  </rcc>
  <rcc rId="16333" sId="3" numFmtId="4">
    <oc r="D104">
      <v>15</v>
    </oc>
    <nc r="D104">
      <v>25</v>
    </nc>
  </rcc>
  <rcc rId="16334" sId="3">
    <oc r="E104">
      <f>350+130+70+160+200+65+8+10+160+15+200+20+15+80+3</f>
    </oc>
    <nc r="E104">
      <f>350+130+70+160+200+65+8+10+160+15+200+20+15+80+3+500</f>
    </nc>
  </rcc>
  <rcc rId="16335" sId="3" numFmtId="4">
    <nc r="F199">
      <v>15</v>
    </nc>
  </rcc>
  <rcc rId="16336" sId="3" numFmtId="4">
    <nc r="G199">
      <v>200</v>
    </nc>
  </rcc>
  <rfmt sheetId="3" sqref="D199:G199">
    <dxf>
      <fill>
        <patternFill patternType="solid">
          <bgColor rgb="FFFFFF00"/>
        </patternFill>
      </fill>
    </dxf>
  </rfmt>
  <rfmt sheetId="3" sqref="D26:E26">
    <dxf>
      <fill>
        <patternFill>
          <bgColor rgb="FFFFFF00"/>
        </patternFill>
      </fill>
    </dxf>
  </rfmt>
  <rcc rId="16337" sId="3">
    <nc r="E255">
      <f>E254-E252</f>
    </nc>
  </rcc>
  <rcc rId="16338" sId="3">
    <nc r="D255">
      <f>D254-D252</f>
    </nc>
  </rcc>
  <rcc rId="16339" sId="3" numFmtId="4">
    <oc r="D26">
      <v>3</v>
    </oc>
    <nc r="D26">
      <v>13</v>
    </nc>
  </rcc>
  <rcc rId="16340" sId="3" numFmtId="4">
    <oc r="F26">
      <v>3</v>
    </oc>
    <nc r="F26">
      <v>11</v>
    </nc>
  </rcc>
  <rcc rId="16341" sId="3">
    <oc r="E26">
      <f>80+100+200</f>
    </oc>
    <nc r="E26">
      <f>80+100+200+1100</f>
    </nc>
  </rcc>
  <rcc rId="16342" sId="3" numFmtId="4">
    <nc r="E199">
      <v>304</v>
    </nc>
  </rcc>
  <rfmt sheetId="3" sqref="D104:E104">
    <dxf>
      <fill>
        <patternFill>
          <bgColor rgb="FFFFFF00"/>
        </patternFill>
      </fill>
    </dxf>
  </rfmt>
  <rcc rId="16343" sId="3">
    <oc r="G104">
      <v>1486</v>
    </oc>
    <nc r="G104">
      <f>1486+550</f>
    </nc>
  </rcc>
  <rcc rId="16344" sId="3" numFmtId="4">
    <oc r="F104">
      <v>15</v>
    </oc>
    <nc r="F104">
      <v>23</v>
    </nc>
  </rcc>
  <rcc rId="16345" sId="3">
    <oc r="G26">
      <f>80+100+200</f>
    </oc>
    <nc r="G26">
      <f>80+100+200+750</f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'сентябрь 2014г'!$C$21:$C$246</formula>
    <oldFormula>'сентябрь 2014г'!$C$21:$C$246</oldFormula>
  </rdn>
  <rdn rId="0" localSheetId="3" customView="1" name="Z_A743F9C7_8B89_4E8F_B91F_1FFB859064F2_.wvu.Rows" hidden="1" oldHidden="1">
    <formula>'сентябрь 2014г. по 6-10'!$2:$12</formula>
    <oldFormula>'сентябрь 2014г. по 6-10'!$2:$12</oldFormula>
  </rdn>
  <rdn rId="0" localSheetId="3" customView="1" name="Z_A743F9C7_8B89_4E8F_B91F_1FFB859064F2_.wvu.FilterData" hidden="1" oldHidden="1">
    <formula>'сентябрь 2014г. по 6-10'!$C$21:$C$130</formula>
    <oldFormula>'сентябрь 2014г. по 6-10'!$C$21:$C$130</oldFormula>
  </rdn>
  <rdn rId="0" localSheetId="4" customView="1" name="Z_A743F9C7_8B89_4E8F_B91F_1FFB859064F2_.wvu.Rows" hidden="1" oldHidden="1">
    <formula>'сентябрь 2014г. по 0,4'!$2:$12</formula>
    <oldFormula>'сентябрь 2014г. по 0,4'!$2:$12</oldFormula>
  </rdn>
  <rdn rId="0" localSheetId="4" customView="1" name="Z_A743F9C7_8B89_4E8F_B91F_1FFB859064F2_.wvu.FilterData" hidden="1" oldHidden="1">
    <formula>'сентябрь 2014г. по 0,4'!$C$18:$C$127</formula>
    <oldFormula>'сентябрь 2014г. по 0,4'!$C$18:$C$127</oldFormula>
  </rdn>
  <rcv guid="{A743F9C7-8B89-4E8F-B91F-1FFB859064F2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'август 2014г'!$C$21:$C$246</formula>
    <oldFormula>'август 2014г'!$C$21:$C$246</oldFormula>
  </rdn>
  <rdn rId="0" localSheetId="3" customView="1" name="Z_A743F9C7_8B89_4E8F_B91F_1FFB859064F2_.wvu.Rows" hidden="1" oldHidden="1">
    <formula>'август 2014г. по 6-10'!$2:$12</formula>
    <oldFormula>'август 2014г. по 6-10'!$2:$12</oldFormula>
  </rdn>
  <rdn rId="0" localSheetId="3" customView="1" name="Z_A743F9C7_8B89_4E8F_B91F_1FFB859064F2_.wvu.FilterData" hidden="1" oldHidden="1">
    <formula>'август 2014г. по 6-10'!$C$21:$C$130</formula>
    <oldFormula>'август 2014г. по 6-10'!$C$21:$C$130</oldFormula>
  </rdn>
  <rdn rId="0" localSheetId="4" customView="1" name="Z_A743F9C7_8B89_4E8F_B91F_1FFB859064F2_.wvu.Rows" hidden="1" oldHidden="1">
    <formula>'август 2014г. по 0,4'!$2:$12</formula>
    <oldFormula>'август 2014г. по 0,4'!$2:$12</oldFormula>
  </rdn>
  <rdn rId="0" localSheetId="4" customView="1" name="Z_A743F9C7_8B89_4E8F_B91F_1FFB859064F2_.wvu.FilterData" hidden="1" oldHidden="1">
    <formula>'август 2014г. по 0,4'!$C$18:$C$127</formula>
    <oldFormula>'август 2014г. по 0,4'!$C$18:$C$127</oldFormula>
  </rdn>
  <rcv guid="{A743F9C7-8B89-4E8F-B91F-1FFB859064F2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cc rId="15894" sId="3" numFmtId="4">
    <oc r="D32">
      <v>7</v>
    </oc>
    <nc r="D32">
      <v>8</v>
    </nc>
  </rcc>
  <rcc rId="15895" sId="3">
    <oc r="E32">
      <f>10+100+300+80+10+300+40</f>
    </oc>
    <nc r="E32">
      <f>10+100+300+80+10+300+40+480</f>
    </nc>
  </rcc>
  <rcc rId="15896" sId="3" numFmtId="4">
    <oc r="F32">
      <v>7</v>
    </oc>
    <nc r="F32">
      <v>8</v>
    </nc>
  </rcc>
  <rcc rId="15897" sId="3" numFmtId="4">
    <oc r="G32">
      <v>840</v>
    </oc>
    <nc r="G32">
      <v>1320</v>
    </nc>
  </rcc>
  <rcc rId="15898" sId="4" numFmtId="4">
    <oc r="D36">
      <v>61</v>
    </oc>
    <nc r="D36">
      <v>62</v>
    </nc>
  </rcc>
  <rcc rId="15899" sId="4">
    <oc r="E36">
      <f>5+6+5+2+5+10+3+5+2+14+5+6+2+6+5+3+2.5+10+1+2+3+2+1.5+14+2.5+2+3+3+5+14.5+5+5+15+15+10+10+15+4+3.5+7+2+20+5+15+2+8+7+10+6+5+8+15+11.5+5+3+10+5+2+15+15+15</f>
    </oc>
    <nc r="E36">
      <f>5+6+5+2+5+10+3+5+2+14+5+6+2+6+5+3+2.5+10+1+2+3+2+1.5+14+2.5+2+3+3+5+14.5+5+5+15+15+10+10+15+4+3.5+7+2+20+5+15+2+8+7+10+6+5+8+15+11.5+5+3+10+5+2+15+15+15+121.9</f>
    </nc>
  </rcc>
  <rcc rId="15900" sId="4" numFmtId="4">
    <oc r="F36">
      <v>61</v>
    </oc>
    <nc r="F36">
      <v>62</v>
    </nc>
  </rcc>
  <rcc rId="15901" sId="4" numFmtId="4">
    <oc r="G36">
      <v>424</v>
    </oc>
    <nc r="G36">
      <v>545.9</v>
    </nc>
  </rcc>
  <rcc rId="15902" sId="4" numFmtId="4">
    <oc r="D208">
      <v>3</v>
    </oc>
    <nc r="D208">
      <v>4</v>
    </nc>
  </rcc>
  <rcc rId="15903" sId="4">
    <oc r="E208">
      <f>13+15+13</f>
    </oc>
    <nc r="E208">
      <f>13+15+13+8</f>
    </nc>
  </rcc>
  <rcc rId="15904" sId="4" numFmtId="4">
    <oc r="F208">
      <v>3</v>
    </oc>
    <nc r="F208">
      <v>4</v>
    </nc>
  </rcc>
  <rcc rId="15905" sId="4" numFmtId="4">
    <oc r="G208">
      <v>41</v>
    </oc>
    <nc r="G208">
      <v>49</v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'август 2014г'!$C$21:$C$246</formula>
    <oldFormula>'август 2014г'!$C$21:$C$246</oldFormula>
  </rdn>
  <rdn rId="0" localSheetId="3" customView="1" name="Z_A743F9C7_8B89_4E8F_B91F_1FFB859064F2_.wvu.Rows" hidden="1" oldHidden="1">
    <formula>'август 2014г. по 6-10'!$2:$12</formula>
    <oldFormula>'август 2014г. по 6-10'!$2:$12</oldFormula>
  </rdn>
  <rdn rId="0" localSheetId="3" customView="1" name="Z_A743F9C7_8B89_4E8F_B91F_1FFB859064F2_.wvu.FilterData" hidden="1" oldHidden="1">
    <formula>'август 2014г. по 6-10'!$C$21:$C$130</formula>
    <oldFormula>'август 2014г. по 6-10'!$C$21:$C$130</oldFormula>
  </rdn>
  <rdn rId="0" localSheetId="4" customView="1" name="Z_A743F9C7_8B89_4E8F_B91F_1FFB859064F2_.wvu.Rows" hidden="1" oldHidden="1">
    <formula>'август 2014г. по 0,4'!$2:$12</formula>
    <oldFormula>'август 2014г. по 0,4'!$2:$12</oldFormula>
  </rdn>
  <rdn rId="0" localSheetId="4" customView="1" name="Z_A743F9C7_8B89_4E8F_B91F_1FFB859064F2_.wvu.FilterData" hidden="1" oldHidden="1">
    <formula>'август 2014г. по 0,4'!$C$18:$C$127</formula>
    <oldFormula>'август 2014г. по 0,4'!$C$18:$C$127</oldFormula>
  </rdn>
  <rcv guid="{A743F9C7-8B89-4E8F-B91F-1FFB859064F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23" sId="4">
    <oc r="M1" t="inlineStr">
      <is>
        <t>Приложение № 28</t>
      </is>
    </oc>
    <nc r="M1"/>
  </rcc>
  <rcc rId="17324" sId="1">
    <oc r="M1" t="inlineStr">
      <is>
        <t>Приложение № 28</t>
      </is>
    </oc>
    <nc r="M1"/>
  </rcc>
  <rcc rId="17325" sId="1">
    <oc r="M2" t="inlineStr">
      <is>
        <t xml:space="preserve">к  Положению о технологическом присоединении 
</t>
      </is>
    </oc>
    <nc r="M2"/>
  </rcc>
  <rcc rId="17326" sId="1">
    <oc r="M3" t="inlineStr">
      <is>
        <t xml:space="preserve">энергетических установок к электрическим сетям </t>
      </is>
    </oc>
    <nc r="M3"/>
  </rcc>
  <rcc rId="17327" sId="1">
    <oc r="M4" t="inlineStr">
      <is>
        <t xml:space="preserve">ОАО «МРСК Северного Кавказа», управляемых </t>
      </is>
    </oc>
    <nc r="M4"/>
  </rcc>
  <rcc rId="17328" sId="1">
    <oc r="M5" t="inlineStr">
      <is>
        <t xml:space="preserve">Обществ </t>
      </is>
    </oc>
    <nc r="M5"/>
  </rcc>
  <rrc rId="17329" sId="1" ref="A249:XFD249" action="deleteRow">
    <rfmt sheetId="1" xfDxf="1" sqref="A249:XFD249" start="0" length="0"/>
    <rcc rId="0" sId="1">
      <nc r="B249" t="inlineStr">
        <is>
          <t>* отчет не учитывает заявки потребителей максимальной присоединенной мощностью более 670 кВт</t>
        </is>
      </nc>
    </rcc>
  </rrc>
  <rrc rId="17330" sId="1" ref="A249:XFD249" action="deleteRow">
    <rfmt sheetId="1" xfDxf="1" sqref="A249:XFD249" start="0" length="0"/>
    <rcc rId="0" sId="1">
      <nc r="I249" t="inlineStr">
        <is>
          <t>Расторгнутые договора</t>
        </is>
      </nc>
    </rcc>
  </rrc>
  <rrc rId="17331" sId="1" ref="A249:XFD249" action="deleteRow">
    <undo index="0" exp="ref" v="1" dr="G249" r="G250" sId="1"/>
    <undo index="0" exp="ref" v="1" dr="F249" r="F250" sId="1"/>
    <undo index="0" exp="ref" v="1" dr="E249" r="E250" sId="1"/>
    <undo index="0" exp="ref" v="1" dr="D249" r="D250" sId="1"/>
    <rfmt sheetId="1" xfDxf="1" sqref="A249:XFD249" start="0" length="0"/>
    <rcc rId="0" sId="1">
      <nc r="D249">
        <v>2211</v>
      </nc>
    </rcc>
    <rcc rId="0" sId="1">
      <nc r="E249">
        <v>73836</v>
      </nc>
    </rcc>
    <rcc rId="0" sId="1" dxf="1">
      <nc r="F249">
        <v>1380</v>
      </nc>
      <ndxf/>
    </rcc>
    <rcc rId="0" sId="1" dxf="1">
      <nc r="G249">
        <v>30071</v>
      </nc>
      <ndxf/>
    </rcc>
    <rfmt sheetId="1" s="1" sqref="H249" start="0" length="0">
      <dxf>
        <font>
          <sz val="8"/>
          <color auto="1"/>
          <name val="Times New Roman"/>
          <scheme val="none"/>
        </font>
        <numFmt numFmtId="21" formatCode="dd/mmm"/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I249" start="0" length="0">
      <dxf>
        <font>
          <sz val="8"/>
          <color auto="1"/>
          <name val="Times New Roman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J249" start="0" length="0">
      <dxf>
        <font>
          <sz val="8"/>
          <color auto="1"/>
          <name val="Times New Roman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49" start="0" length="0">
      <dxf>
        <font>
          <sz val="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32" sId="1" ref="A249:XFD249" action="deleteRow">
    <rfmt sheetId="1" xfDxf="1" sqref="A249:XFD249" start="0" length="0"/>
    <rcc rId="0" sId="1" dxf="1">
      <nc r="D249">
        <f>#REF!-D246</f>
      </nc>
      <ndxf>
        <numFmt numFmtId="3" formatCode="#,##0"/>
      </ndxf>
    </rcc>
    <rcc rId="0" sId="1" dxf="1">
      <nc r="E249">
        <f>#REF!-E246</f>
      </nc>
      <ndxf>
        <numFmt numFmtId="3" formatCode="#,##0"/>
      </ndxf>
    </rcc>
    <rcc rId="0" sId="1" dxf="1">
      <nc r="F249">
        <f>#REF!-F246</f>
      </nc>
      <ndxf>
        <numFmt numFmtId="3" formatCode="#,##0"/>
      </ndxf>
    </rcc>
    <rcc rId="0" sId="1" dxf="1">
      <nc r="G249">
        <f>#REF!-G246</f>
      </nc>
      <ndxf>
        <numFmt numFmtId="3" formatCode="#,##0"/>
      </ndxf>
    </rcc>
    <rfmt sheetId="1" s="1" sqref="H249" start="0" length="0">
      <dxf>
        <font>
          <sz val="8"/>
          <color auto="1"/>
          <name val="Times New Roman"/>
          <scheme val="none"/>
        </font>
        <numFmt numFmtId="21" formatCode="dd/mmm"/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I249" start="0" length="0">
      <dxf>
        <font>
          <sz val="8"/>
          <color auto="1"/>
          <name val="Times New Roman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J249" start="0" length="0">
      <dxf>
        <font>
          <sz val="8"/>
          <color auto="1"/>
          <name val="Times New Roman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49" start="0" length="0">
      <dxf>
        <font>
          <sz val="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33" sId="1" ref="A249:XFD249" action="deleteRow">
    <rfmt sheetId="1" xfDxf="1" sqref="A249:XFD249" start="0" length="0"/>
    <rfmt sheetId="1" s="1" sqref="H249" start="0" length="0">
      <dxf>
        <font>
          <sz val="8"/>
          <color auto="1"/>
          <name val="Times New Roman"/>
          <scheme val="none"/>
        </font>
        <numFmt numFmtId="21" formatCode="dd/mmm"/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I249" start="0" length="0">
      <dxf>
        <font>
          <sz val="8"/>
          <color auto="1"/>
          <name val="Times New Roman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J249" start="0" length="0">
      <dxf>
        <font>
          <sz val="8"/>
          <color auto="1"/>
          <name val="Times New Roman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49" start="0" length="0">
      <dxf>
        <font>
          <sz val="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34" sId="1" ref="A249:XFD249" action="deleteRow">
    <rfmt sheetId="1" xfDxf="1" sqref="A249:XFD249" start="0" length="0"/>
    <rfmt sheetId="1" sqref="D249" start="0" length="0">
      <dxf>
        <numFmt numFmtId="3" formatCode="#,##0"/>
      </dxf>
    </rfmt>
    <rfmt sheetId="1" sqref="E249" start="0" length="0">
      <dxf>
        <numFmt numFmtId="3" formatCode="#,##0"/>
      </dxf>
    </rfmt>
    <rfmt sheetId="1" sqref="F249" start="0" length="0">
      <dxf>
        <numFmt numFmtId="3" formatCode="#,##0"/>
      </dxf>
    </rfmt>
    <rfmt sheetId="1" sqref="G249" start="0" length="0">
      <dxf>
        <numFmt numFmtId="3" formatCode="#,##0"/>
      </dxf>
    </rfmt>
    <rfmt sheetId="1" s="1" sqref="H249" start="0" length="0">
      <dxf>
        <font>
          <sz val="8"/>
          <color auto="1"/>
          <name val="Arial Cyr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I249" start="0" length="0">
      <dxf>
        <font>
          <sz val="8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J249" start="0" length="0">
      <dxf>
        <font>
          <sz val="8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49" start="0" length="0">
      <dxf>
        <font>
          <sz val="8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35" sId="1" ref="A249:XFD249" action="deleteRow">
    <rfmt sheetId="1" xfDxf="1" sqref="A249:XFD249" start="0" length="0"/>
    <rfmt sheetId="1" s="1" sqref="H249" start="0" length="0">
      <dxf>
        <font>
          <sz val="8"/>
          <color auto="1"/>
          <name val="Arial Cyr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I249" start="0" length="0">
      <dxf>
        <font>
          <sz val="8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J249" start="0" length="0">
      <dxf>
        <font>
          <sz val="8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49" start="0" length="0">
      <dxf>
        <font>
          <sz val="8"/>
          <color auto="1"/>
          <name val="Arial Cyr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17336" sId="1" ref="A249:XFD249" action="deleteRow">
    <rfmt sheetId="1" xfDxf="1" sqref="A249:XFD249" start="0" length="0"/>
    <rfmt sheetId="1" s="1" sqref="H249" start="0" length="0">
      <dxf>
        <font>
          <sz val="8"/>
          <color auto="1"/>
          <name val="Arial Cyr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I249" start="0" length="0">
      <dxf>
        <font>
          <sz val="8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J249" start="0" length="0">
      <dxf>
        <font>
          <sz val="8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49" start="0" length="0">
      <dxf>
        <font>
          <sz val="8"/>
          <color auto="1"/>
          <name val="Arial Cyr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37" sId="1" ref="A249:XFD249" action="deleteRow">
    <rfmt sheetId="1" xfDxf="1" sqref="A249:XFD249" start="0" length="0"/>
    <rfmt sheetId="1" s="1" sqref="H249" start="0" length="0">
      <dxf>
        <font>
          <sz val="8"/>
          <color auto="1"/>
          <name val="Arial Cyr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I249" start="0" length="0">
      <dxf>
        <font>
          <sz val="8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J249" start="0" length="0">
      <dxf>
        <font>
          <sz val="8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49" start="0" length="0">
      <dxf>
        <font>
          <sz val="8"/>
          <color auto="1"/>
          <name val="Arial Cyr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38" sId="1" ref="A249:XFD249" action="deleteRow">
    <rfmt sheetId="1" xfDxf="1" sqref="A249:XFD249" start="0" length="0"/>
    <rfmt sheetId="1" s="1" sqref="H249" start="0" length="0">
      <dxf>
        <font>
          <sz val="8"/>
          <color auto="1"/>
          <name val="Arial Cyr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I249" start="0" length="0">
      <dxf>
        <font>
          <sz val="8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J249" start="0" length="0">
      <dxf>
        <font>
          <sz val="8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49" start="0" length="0">
      <dxf>
        <font>
          <sz val="8"/>
          <color auto="1"/>
          <name val="Arial Cyr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39" sId="1" ref="A249:XFD249" action="deleteRow">
    <rfmt sheetId="1" xfDxf="1" sqref="A249:XFD249" start="0" length="0"/>
    <rfmt sheetId="1" s="1" sqref="H249" start="0" length="0">
      <dxf>
        <font>
          <sz val="8"/>
          <color auto="1"/>
          <name val="Arial Cyr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249" start="0" length="0">
      <dxf>
        <font>
          <sz val="8"/>
          <color auto="1"/>
          <name val="Arial Cyr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J249" start="0" length="0">
      <dxf>
        <font>
          <sz val="8"/>
          <color auto="1"/>
          <name val="Arial Cyr"/>
          <scheme val="none"/>
        </font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49" start="0" length="0">
      <dxf>
        <font>
          <sz val="8"/>
          <color auto="1"/>
          <name val="Arial Cyr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40" sId="1" ref="A249:XFD249" action="deleteRow">
    <rfmt sheetId="1" xfDxf="1" sqref="A249:XFD249" start="0" length="0"/>
    <rfmt sheetId="1" s="1" sqref="H249" start="0" length="0">
      <dxf>
        <font>
          <sz val="8"/>
          <color auto="1"/>
          <name val="Arial Cyr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249" start="0" length="0">
      <dxf>
        <font>
          <sz val="8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J249" start="0" length="0">
      <dxf>
        <font>
          <sz val="8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49" start="0" length="0">
      <dxf>
        <font>
          <sz val="8"/>
          <color auto="1"/>
          <name val="Arial Cyr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41" sId="1" ref="A249:XFD249" action="deleteRow">
    <rfmt sheetId="1" xfDxf="1" sqref="A249:XFD249" start="0" length="0"/>
    <rfmt sheetId="1" s="1" sqref="H249" start="0" length="0">
      <dxf>
        <font>
          <sz val="8"/>
          <color auto="1"/>
          <name val="Arial Cyr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249" start="0" length="0">
      <dxf>
        <font>
          <sz val="8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J249" start="0" length="0">
      <dxf>
        <font>
          <sz val="8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49" start="0" length="0">
      <dxf>
        <font>
          <sz val="8"/>
          <color auto="1"/>
          <name val="Arial Cyr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42" sId="1" ref="A249:XFD249" action="deleteRow">
    <rfmt sheetId="1" xfDxf="1" sqref="A249:XFD249" start="0" length="0"/>
    <rfmt sheetId="1" s="1" sqref="H249" start="0" length="0">
      <dxf>
        <font>
          <sz val="8"/>
          <color auto="1"/>
          <name val="Arial Cyr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249" start="0" length="0">
      <dxf>
        <font>
          <sz val="8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J249" start="0" length="0">
      <dxf>
        <font>
          <sz val="8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49" start="0" length="0">
      <dxf>
        <font>
          <sz val="8"/>
          <color auto="1"/>
          <name val="Arial Cyr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43" sId="1" ref="A249:XFD249" action="deleteRow">
    <rfmt sheetId="1" xfDxf="1" sqref="A249:XFD249" start="0" length="0"/>
    <rfmt sheetId="1" s="1" sqref="H249" start="0" length="0">
      <dxf>
        <font>
          <sz val="8"/>
          <color auto="1"/>
          <name val="Arial Cyr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4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49" start="0" length="0">
      <dxf>
        <font>
          <sz val="8"/>
          <color auto="1"/>
          <name val="Arial Cyr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44" sId="1" ref="A249:XFD249" action="deleteRow">
    <rfmt sheetId="1" xfDxf="1" sqref="A249:XFD249" start="0" length="0"/>
    <rfmt sheetId="1" s="1" sqref="H249" start="0" length="0">
      <dxf>
        <font>
          <sz val="8"/>
          <color auto="1"/>
          <name val="Arial Cyr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4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49" start="0" length="0">
      <dxf>
        <font>
          <sz val="8"/>
          <color auto="1"/>
          <name val="Arial Cyr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45" sId="1" ref="A249:XFD249" action="deleteRow">
    <rfmt sheetId="1" xfDxf="1" sqref="A249:XFD249" start="0" length="0"/>
  </rrc>
  <rcc rId="17346" sId="1">
    <nc r="B248" t="inlineStr">
      <is>
        <t>* в  ОАО "Дагэнергосеть"  аннулированных заявок 0 шт. на 0 кВт.</t>
      </is>
    </nc>
  </rcc>
  <rdn rId="0" localSheetId="2" customView="1" name="Z_511E85F2_317A_4F57_8889_9FAECC5DF910_.wvu.FilterData" hidden="1" oldHidden="1">
    <formula>'Ноябрь 2013г'!$C$21:$C$131</formula>
  </rdn>
  <rdn rId="0" localSheetId="1" customView="1" name="Z_511E85F2_317A_4F57_8889_9FAECC5DF910_.wvu.FilterData" hidden="1" oldHidden="1">
    <formula>'октябрь 2014г'!$C$21:$C$246</formula>
  </rdn>
  <rdn rId="0" localSheetId="3" customView="1" name="Z_511E85F2_317A_4F57_8889_9FAECC5DF910_.wvu.Rows" hidden="1" oldHidden="1">
    <formula>'октябрь 2014г. по 6-10'!$2:$12</formula>
  </rdn>
  <rdn rId="0" localSheetId="3" customView="1" name="Z_511E85F2_317A_4F57_8889_9FAECC5DF910_.wvu.FilterData" hidden="1" oldHidden="1">
    <formula>'октябрь 2014г. по 6-10'!$C$21:$C$130</formula>
  </rdn>
  <rdn rId="0" localSheetId="4" customView="1" name="Z_511E85F2_317A_4F57_8889_9FAECC5DF910_.wvu.Rows" hidden="1" oldHidden="1">
    <formula>'октябрь 2014г. по 0,4'!$2:$12</formula>
  </rdn>
  <rdn rId="0" localSheetId="4" customView="1" name="Z_511E85F2_317A_4F57_8889_9FAECC5DF910_.wvu.FilterData" hidden="1" oldHidden="1">
    <formula>'октябрь 2014г. по 0,4'!$C$18:$C$127</formula>
  </rdn>
  <rcv guid="{511E85F2-317A-4F57-8889-9FAECC5DF91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A89BC106-A455-4B61-9A50-DB7F2FC5B7CC}" name="Мамедова Фарида" id="-472689158" dateTime="2014-09-01T14:13:29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511E85F2-317A-4F57-8889-9FAECC5DF910}" state="hidden">
      <pageMargins left="0.7" right="0.7" top="0.75" bottom="0.75" header="0.3" footer="0.3"/>
    </customSheetView>
    <customSheetView guid="{A743F9C7-8B89-4E8F-B91F-1FFB859064F2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9"/>
  <sheetViews>
    <sheetView topLeftCell="B84" zoomScale="85" zoomScaleNormal="85" workbookViewId="0">
      <selection activeCell="E109" sqref="E109"/>
    </sheetView>
  </sheetViews>
  <sheetFormatPr defaultRowHeight="12.75" x14ac:dyDescent="0.2"/>
  <cols>
    <col min="1" max="1" width="29.140625" customWidth="1"/>
    <col min="2" max="2" width="39.28515625" customWidth="1"/>
    <col min="3" max="3" width="26.140625" customWidth="1"/>
    <col min="4" max="4" width="13.28515625" style="30" customWidth="1"/>
    <col min="5" max="5" width="11.5703125" style="30" customWidth="1"/>
    <col min="6" max="6" width="11.140625" style="30" customWidth="1"/>
    <col min="7" max="7" width="11.7109375" style="30" customWidth="1"/>
    <col min="8" max="8" width="12" style="30" customWidth="1"/>
    <col min="9" max="10" width="11.140625" style="30" customWidth="1"/>
    <col min="11" max="11" width="12.85546875" style="30" customWidth="1"/>
    <col min="12" max="12" width="10.85546875" customWidth="1"/>
    <col min="13" max="14" width="11.5703125" customWidth="1"/>
    <col min="15" max="15" width="12" customWidth="1"/>
    <col min="16" max="16" width="13" customWidth="1"/>
    <col min="17" max="17" width="12.7109375" customWidth="1"/>
  </cols>
  <sheetData>
    <row r="1" spans="2:15" ht="15.75" x14ac:dyDescent="0.25">
      <c r="I1" s="125"/>
      <c r="J1" s="125"/>
      <c r="K1" s="125"/>
      <c r="L1" s="125"/>
      <c r="M1" s="17" t="s">
        <v>16</v>
      </c>
      <c r="N1" s="17"/>
    </row>
    <row r="2" spans="2:15" ht="15.75" x14ac:dyDescent="0.25">
      <c r="B2" t="s">
        <v>0</v>
      </c>
      <c r="I2" s="125"/>
      <c r="J2" s="125"/>
      <c r="K2" s="125"/>
      <c r="L2" s="125"/>
      <c r="M2" s="17" t="s">
        <v>12</v>
      </c>
      <c r="N2" s="17"/>
      <c r="O2" s="17"/>
    </row>
    <row r="3" spans="2:15" ht="15.75" x14ac:dyDescent="0.25">
      <c r="I3" s="125"/>
      <c r="J3" s="125"/>
      <c r="K3" s="125"/>
      <c r="L3" s="125"/>
      <c r="M3" s="17" t="s">
        <v>13</v>
      </c>
      <c r="N3" s="17"/>
      <c r="O3" s="17"/>
    </row>
    <row r="4" spans="2:15" ht="15.75" x14ac:dyDescent="0.25">
      <c r="I4" s="32"/>
      <c r="J4" s="32"/>
      <c r="K4" s="32"/>
      <c r="L4" s="1"/>
      <c r="M4" s="17" t="s">
        <v>14</v>
      </c>
      <c r="N4" s="17"/>
      <c r="O4" s="17"/>
    </row>
    <row r="5" spans="2:15" ht="15.75" x14ac:dyDescent="0.25">
      <c r="I5" s="125"/>
      <c r="J5" s="125"/>
      <c r="K5" s="125"/>
      <c r="L5" s="125"/>
      <c r="M5" s="17" t="s">
        <v>15</v>
      </c>
      <c r="N5" s="17"/>
      <c r="O5" s="17"/>
    </row>
    <row r="6" spans="2:15" ht="15.75" x14ac:dyDescent="0.25">
      <c r="I6" s="125"/>
      <c r="J6" s="125"/>
      <c r="K6" s="125"/>
      <c r="L6" s="125"/>
      <c r="O6" s="17"/>
    </row>
    <row r="7" spans="2:15" ht="15.75" x14ac:dyDescent="0.25">
      <c r="I7" s="125"/>
      <c r="J7" s="125"/>
      <c r="K7" s="125"/>
      <c r="L7" s="125"/>
    </row>
    <row r="8" spans="2:15" ht="15.75" x14ac:dyDescent="0.25">
      <c r="I8" s="32"/>
      <c r="J8" s="32"/>
      <c r="K8" s="32"/>
    </row>
    <row r="9" spans="2:15" ht="12.75" customHeight="1" x14ac:dyDescent="0.2"/>
    <row r="10" spans="2:15" ht="12.75" customHeight="1" x14ac:dyDescent="0.25"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</row>
    <row r="11" spans="2:15" ht="15.75" x14ac:dyDescent="0.25"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</row>
    <row r="12" spans="2:15" ht="15.75" x14ac:dyDescent="0.25">
      <c r="B12" s="16"/>
      <c r="C12" s="16"/>
      <c r="D12" s="33"/>
      <c r="E12" s="33"/>
      <c r="F12" s="33"/>
      <c r="G12" s="33"/>
      <c r="H12" s="33"/>
      <c r="I12" s="33"/>
      <c r="J12" s="33"/>
      <c r="K12" s="34"/>
      <c r="L12" s="13"/>
      <c r="M12" s="13"/>
    </row>
    <row r="13" spans="2:15" ht="13.5" thickBot="1" x14ac:dyDescent="0.25"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</row>
    <row r="14" spans="2:15" ht="16.5" thickBot="1" x14ac:dyDescent="0.3">
      <c r="B14" s="126" t="s">
        <v>140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8"/>
    </row>
    <row r="15" spans="2:15" x14ac:dyDescent="0.2"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</row>
    <row r="16" spans="2:15" x14ac:dyDescent="0.2">
      <c r="B16" s="13"/>
      <c r="C16" s="13"/>
      <c r="D16" s="35"/>
      <c r="E16" s="35"/>
      <c r="F16" s="35"/>
      <c r="G16" s="35"/>
      <c r="H16" s="35"/>
      <c r="I16" s="35"/>
      <c r="J16" s="35"/>
      <c r="K16" s="35"/>
      <c r="L16" s="13"/>
      <c r="M16" s="13"/>
    </row>
    <row r="18" spans="1:17" ht="13.5" thickBot="1" x14ac:dyDescent="0.25"/>
    <row r="19" spans="1:17" ht="127.5" customHeight="1" thickTop="1" thickBot="1" x14ac:dyDescent="0.25">
      <c r="A19" s="2" t="s">
        <v>1</v>
      </c>
      <c r="B19" s="2" t="s">
        <v>2</v>
      </c>
      <c r="C19" s="3" t="s">
        <v>3</v>
      </c>
      <c r="D19" s="138" t="s">
        <v>17</v>
      </c>
      <c r="E19" s="138"/>
      <c r="F19" s="138" t="s">
        <v>4</v>
      </c>
      <c r="G19" s="138"/>
      <c r="H19" s="139" t="s">
        <v>5</v>
      </c>
      <c r="I19" s="140"/>
      <c r="J19" s="139" t="s">
        <v>6</v>
      </c>
      <c r="K19" s="140"/>
      <c r="L19" s="131" t="s">
        <v>18</v>
      </c>
      <c r="M19" s="132"/>
      <c r="N19" s="131" t="s">
        <v>19</v>
      </c>
      <c r="O19" s="132"/>
      <c r="P19" s="131" t="s">
        <v>20</v>
      </c>
      <c r="Q19" s="132"/>
    </row>
    <row r="20" spans="1:17" ht="13.5" thickTop="1" x14ac:dyDescent="0.2">
      <c r="A20" s="4">
        <v>1</v>
      </c>
      <c r="B20" s="5">
        <v>2</v>
      </c>
      <c r="C20" s="6">
        <v>3</v>
      </c>
      <c r="D20" s="141">
        <v>4</v>
      </c>
      <c r="E20" s="142"/>
      <c r="F20" s="133">
        <v>5</v>
      </c>
      <c r="G20" s="134"/>
      <c r="H20" s="135">
        <v>6</v>
      </c>
      <c r="I20" s="134"/>
      <c r="J20" s="135">
        <v>7</v>
      </c>
      <c r="K20" s="134"/>
      <c r="L20" s="136">
        <v>8</v>
      </c>
      <c r="M20" s="137"/>
      <c r="N20" s="136">
        <v>9</v>
      </c>
      <c r="O20" s="137"/>
      <c r="P20" s="136">
        <v>10</v>
      </c>
      <c r="Q20" s="137"/>
    </row>
    <row r="21" spans="1:17" ht="12.75" customHeight="1" x14ac:dyDescent="0.2">
      <c r="A21" s="7"/>
      <c r="B21" s="7"/>
      <c r="C21" s="7"/>
      <c r="D21" s="29" t="s">
        <v>7</v>
      </c>
      <c r="E21" s="29" t="s">
        <v>8</v>
      </c>
      <c r="F21" s="29" t="s">
        <v>7</v>
      </c>
      <c r="G21" s="29" t="s">
        <v>8</v>
      </c>
      <c r="H21" s="29" t="s">
        <v>7</v>
      </c>
      <c r="I21" s="29" t="s">
        <v>8</v>
      </c>
      <c r="J21" s="29" t="s">
        <v>7</v>
      </c>
      <c r="K21" s="29" t="s">
        <v>8</v>
      </c>
      <c r="L21" s="8" t="s">
        <v>7</v>
      </c>
      <c r="M21" s="8" t="s">
        <v>9</v>
      </c>
      <c r="N21" s="8" t="s">
        <v>7</v>
      </c>
      <c r="O21" s="8" t="s">
        <v>9</v>
      </c>
      <c r="P21" s="8" t="s">
        <v>7</v>
      </c>
      <c r="Q21" s="8" t="s">
        <v>9</v>
      </c>
    </row>
    <row r="22" spans="1:17" ht="28.5" customHeight="1" x14ac:dyDescent="0.25">
      <c r="A22" s="28" t="s">
        <v>136</v>
      </c>
      <c r="B22" s="28" t="s">
        <v>137</v>
      </c>
      <c r="C22" s="143" t="s">
        <v>21</v>
      </c>
      <c r="D22" s="144"/>
      <c r="E22" s="29"/>
      <c r="F22" s="29"/>
      <c r="G22" s="29"/>
      <c r="H22" s="29"/>
      <c r="I22" s="29"/>
      <c r="J22" s="29"/>
      <c r="K22" s="29"/>
      <c r="L22" s="8"/>
      <c r="M22" s="8"/>
      <c r="N22" s="8"/>
      <c r="O22" s="8"/>
      <c r="P22" s="8"/>
      <c r="Q22" s="8"/>
    </row>
    <row r="23" spans="1:17" ht="12" customHeight="1" x14ac:dyDescent="0.25">
      <c r="A23" s="18"/>
      <c r="B23" s="18"/>
      <c r="C23" s="19" t="s">
        <v>22</v>
      </c>
      <c r="D23" s="31">
        <f>'октябрь 2014г. по 6-10'!D23+'октябрь 2014г. по 0,4'!D20</f>
        <v>0</v>
      </c>
      <c r="E23" s="31">
        <f>'октябрь 2014г. по 6-10'!E23+'октябрь 2014г. по 0,4'!E20</f>
        <v>0</v>
      </c>
      <c r="F23" s="31">
        <f>'октябрь 2014г. по 6-10'!F23+'октябрь 2014г. по 0,4'!F20</f>
        <v>0</v>
      </c>
      <c r="G23" s="31">
        <f>'октябрь 2014г. по 6-10'!G23+'октябрь 2014г. по 0,4'!G20</f>
        <v>0</v>
      </c>
      <c r="H23" s="24">
        <v>2</v>
      </c>
      <c r="I23" s="24">
        <v>11.2</v>
      </c>
      <c r="J23" s="31">
        <f>'октябрь 2014г. по 6-10'!J23+'октябрь 2014г. по 0,4'!J20</f>
        <v>0</v>
      </c>
      <c r="K23" s="31">
        <f>'октябрь 2014г. по 6-10'!K23+'октябрь 2014г. по 0,4'!K20</f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</row>
    <row r="24" spans="1:17" ht="12" customHeight="1" x14ac:dyDescent="0.25">
      <c r="A24" s="18"/>
      <c r="B24" s="18"/>
      <c r="C24" s="19" t="s">
        <v>23</v>
      </c>
      <c r="D24" s="31">
        <f>'октябрь 2014г. по 6-10'!D24+'октябрь 2014г. по 0,4'!D21</f>
        <v>1</v>
      </c>
      <c r="E24" s="31">
        <f>'октябрь 2014г. по 6-10'!E24+'октябрь 2014г. по 0,4'!E21</f>
        <v>100</v>
      </c>
      <c r="F24" s="31">
        <f>'октябрь 2014г. по 6-10'!F24+'октябрь 2014г. по 0,4'!F21</f>
        <v>1</v>
      </c>
      <c r="G24" s="31">
        <f>'октябрь 2014г. по 6-10'!G24+'октябрь 2014г. по 0,4'!G21</f>
        <v>100</v>
      </c>
      <c r="H24" s="24">
        <v>0</v>
      </c>
      <c r="I24" s="24">
        <v>0</v>
      </c>
      <c r="J24" s="31">
        <f>'октябрь 2014г. по 6-10'!J24+'октябрь 2014г. по 0,4'!J21</f>
        <v>31</v>
      </c>
      <c r="K24" s="31">
        <f>'октябрь 2014г. по 6-10'!K24+'октябрь 2014г. по 0,4'!K21</f>
        <v>260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</row>
    <row r="25" spans="1:17" ht="12" customHeight="1" x14ac:dyDescent="0.25">
      <c r="A25" s="18"/>
      <c r="B25" s="18"/>
      <c r="C25" s="19" t="s">
        <v>24</v>
      </c>
      <c r="D25" s="31">
        <f>'октябрь 2014г. по 6-10'!D25+'октябрь 2014г. по 0,4'!D22</f>
        <v>1</v>
      </c>
      <c r="E25" s="31">
        <f>'октябрь 2014г. по 6-10'!E25+'октябрь 2014г. по 0,4'!E22</f>
        <v>250</v>
      </c>
      <c r="F25" s="31">
        <f>'октябрь 2014г. по 6-10'!F25+'октябрь 2014г. по 0,4'!F22</f>
        <v>0</v>
      </c>
      <c r="G25" s="31">
        <f>'октябрь 2014г. по 6-10'!G25+'октябрь 2014г. по 0,4'!G22</f>
        <v>0</v>
      </c>
      <c r="H25" s="24">
        <v>0</v>
      </c>
      <c r="I25" s="24">
        <v>0</v>
      </c>
      <c r="J25" s="31">
        <f>'октябрь 2014г. по 6-10'!J25+'октябрь 2014г. по 0,4'!J22</f>
        <v>0</v>
      </c>
      <c r="K25" s="31">
        <f>'октябрь 2014г. по 6-10'!K25+'октябрь 2014г. по 0,4'!K22</f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</row>
    <row r="26" spans="1:17" ht="11.25" customHeight="1" x14ac:dyDescent="0.25">
      <c r="A26" s="18"/>
      <c r="B26" s="18"/>
      <c r="C26" s="19" t="s">
        <v>25</v>
      </c>
      <c r="D26" s="31">
        <f>'октябрь 2014г. по 6-10'!D26+'октябрь 2014г. по 0,4'!D23</f>
        <v>14</v>
      </c>
      <c r="E26" s="31">
        <f>'октябрь 2014г. по 6-10'!E26+'октябрь 2014г. по 0,4'!E23</f>
        <v>1700</v>
      </c>
      <c r="F26" s="31">
        <f>'октябрь 2014г. по 6-10'!F26+'октябрь 2014г. по 0,4'!F23</f>
        <v>6</v>
      </c>
      <c r="G26" s="31">
        <f>'октябрь 2014г. по 6-10'!G26+'октябрь 2014г. по 0,4'!G23</f>
        <v>830</v>
      </c>
      <c r="H26" s="24">
        <v>0</v>
      </c>
      <c r="I26" s="24">
        <v>0</v>
      </c>
      <c r="J26" s="31">
        <f>'октябрь 2014г. по 6-10'!J26+'октябрь 2014г. по 0,4'!J23</f>
        <v>3</v>
      </c>
      <c r="K26" s="31">
        <f>'октябрь 2014г. по 6-10'!K26+'октябрь 2014г. по 0,4'!K23</f>
        <v>210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</row>
    <row r="27" spans="1:17" ht="11.25" customHeight="1" x14ac:dyDescent="0.25">
      <c r="A27" s="18"/>
      <c r="B27" s="18"/>
      <c r="C27" s="19" t="s">
        <v>26</v>
      </c>
      <c r="D27" s="31">
        <f>'октябрь 2014г. по 6-10'!D27+'октябрь 2014г. по 0,4'!D24</f>
        <v>1</v>
      </c>
      <c r="E27" s="31">
        <f>'октябрь 2014г. по 6-10'!E27+'октябрь 2014г. по 0,4'!E24</f>
        <v>80</v>
      </c>
      <c r="F27" s="31">
        <f>'октябрь 2014г. по 6-10'!F27+'октябрь 2014г. по 0,4'!F24</f>
        <v>0</v>
      </c>
      <c r="G27" s="31">
        <f>'октябрь 2014г. по 6-10'!G27+'октябрь 2014г. по 0,4'!G24</f>
        <v>0</v>
      </c>
      <c r="H27" s="24">
        <v>0</v>
      </c>
      <c r="I27" s="24">
        <v>0</v>
      </c>
      <c r="J27" s="31">
        <f>'октябрь 2014г. по 6-10'!J27+'октябрь 2014г. по 0,4'!J24</f>
        <v>0</v>
      </c>
      <c r="K27" s="31">
        <f>'октябрь 2014г. по 6-10'!K27+'октябрь 2014г. по 0,4'!K24</f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</row>
    <row r="28" spans="1:17" ht="12.75" customHeight="1" x14ac:dyDescent="0.25">
      <c r="A28" s="18"/>
      <c r="B28" s="18"/>
      <c r="C28" s="19" t="s">
        <v>27</v>
      </c>
      <c r="D28" s="31">
        <f>'октябрь 2014г. по 6-10'!D28+'октябрь 2014г. по 0,4'!D25</f>
        <v>2</v>
      </c>
      <c r="E28" s="31">
        <f>'октябрь 2014г. по 6-10'!E28+'октябрь 2014г. по 0,4'!E25</f>
        <v>970</v>
      </c>
      <c r="F28" s="31">
        <f>'октябрь 2014г. по 6-10'!F28+'октябрь 2014г. по 0,4'!F25</f>
        <v>1</v>
      </c>
      <c r="G28" s="31">
        <f>'октябрь 2014г. по 6-10'!G28+'октябрь 2014г. по 0,4'!G25</f>
        <v>470</v>
      </c>
      <c r="H28" s="24">
        <v>0</v>
      </c>
      <c r="I28" s="24">
        <v>0</v>
      </c>
      <c r="J28" s="31">
        <f>'октябрь 2014г. по 6-10'!J28+'октябрь 2014г. по 0,4'!J25</f>
        <v>50</v>
      </c>
      <c r="K28" s="31">
        <f>'октябрь 2014г. по 6-10'!K28+'октябрь 2014г. по 0,4'!K25</f>
        <v>390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</row>
    <row r="29" spans="1:17" ht="11.25" customHeight="1" x14ac:dyDescent="0.25">
      <c r="A29" s="18"/>
      <c r="B29" s="18"/>
      <c r="C29" s="19" t="s">
        <v>28</v>
      </c>
      <c r="D29" s="31">
        <f>'октябрь 2014г. по 6-10'!D29+'октябрь 2014г. по 0,4'!D26</f>
        <v>1</v>
      </c>
      <c r="E29" s="31">
        <f>'октябрь 2014г. по 6-10'!E29+'октябрь 2014г. по 0,4'!E26</f>
        <v>30</v>
      </c>
      <c r="F29" s="31">
        <f>'октябрь 2014г. по 6-10'!F29+'октябрь 2014г. по 0,4'!F26</f>
        <v>1</v>
      </c>
      <c r="G29" s="31">
        <f>'октябрь 2014г. по 6-10'!G29+'октябрь 2014г. по 0,4'!G26</f>
        <v>30</v>
      </c>
      <c r="H29" s="24">
        <v>1</v>
      </c>
      <c r="I29" s="24">
        <v>300</v>
      </c>
      <c r="J29" s="31">
        <f>'октябрь 2014г. по 6-10'!J29+'октябрь 2014г. по 0,4'!J26</f>
        <v>0</v>
      </c>
      <c r="K29" s="31">
        <f>'октябрь 2014г. по 6-10'!K29+'октябрь 2014г. по 0,4'!K26</f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</row>
    <row r="30" spans="1:17" ht="16.5" customHeight="1" x14ac:dyDescent="0.2">
      <c r="A30" s="18"/>
      <c r="B30" s="18"/>
      <c r="C30" s="20" t="s">
        <v>30</v>
      </c>
      <c r="D30" s="29">
        <f>D23+D24+D25+D26+D27+D28+D29</f>
        <v>20</v>
      </c>
      <c r="E30" s="29">
        <f t="shared" ref="E30:Q30" si="0">E23+E24+E25+E26+E27+E28+E29</f>
        <v>3130</v>
      </c>
      <c r="F30" s="29">
        <f t="shared" si="0"/>
        <v>9</v>
      </c>
      <c r="G30" s="29">
        <f t="shared" si="0"/>
        <v>1430</v>
      </c>
      <c r="H30" s="29">
        <f t="shared" si="0"/>
        <v>3</v>
      </c>
      <c r="I30" s="29">
        <f t="shared" si="0"/>
        <v>311.2</v>
      </c>
      <c r="J30" s="29">
        <f t="shared" si="0"/>
        <v>84</v>
      </c>
      <c r="K30" s="29">
        <f t="shared" si="0"/>
        <v>860</v>
      </c>
      <c r="L30" s="8">
        <f t="shared" si="0"/>
        <v>0</v>
      </c>
      <c r="M30" s="8">
        <f t="shared" si="0"/>
        <v>0</v>
      </c>
      <c r="N30" s="8">
        <f t="shared" si="0"/>
        <v>0</v>
      </c>
      <c r="O30" s="8">
        <f t="shared" si="0"/>
        <v>0</v>
      </c>
      <c r="P30" s="8">
        <f t="shared" si="0"/>
        <v>0</v>
      </c>
      <c r="Q30" s="8">
        <f t="shared" si="0"/>
        <v>0</v>
      </c>
    </row>
    <row r="31" spans="1:17" ht="26.25" customHeight="1" x14ac:dyDescent="0.25">
      <c r="A31" s="18"/>
      <c r="B31" s="18"/>
      <c r="C31" s="143" t="s">
        <v>29</v>
      </c>
      <c r="D31" s="144"/>
      <c r="E31" s="29"/>
      <c r="F31" s="29"/>
      <c r="G31" s="29"/>
      <c r="H31" s="29"/>
      <c r="I31" s="29"/>
      <c r="J31" s="29"/>
      <c r="K31" s="29"/>
      <c r="L31" s="8"/>
      <c r="M31" s="8"/>
      <c r="N31" s="8"/>
      <c r="O31" s="8"/>
      <c r="P31" s="8"/>
      <c r="Q31" s="8"/>
    </row>
    <row r="32" spans="1:17" ht="12" customHeight="1" x14ac:dyDescent="0.25">
      <c r="A32" s="18"/>
      <c r="B32" s="18"/>
      <c r="C32" s="19" t="s">
        <v>31</v>
      </c>
      <c r="D32" s="31">
        <f>'октябрь 2014г. по 6-10'!D32+'октябрь 2014г. по 0,4'!D29</f>
        <v>33</v>
      </c>
      <c r="E32" s="31">
        <f>'октябрь 2014г. по 6-10'!E32+'октябрь 2014г. по 0,4'!E29</f>
        <v>1510</v>
      </c>
      <c r="F32" s="31">
        <f>'октябрь 2014г. по 6-10'!F32+'октябрь 2014г. по 0,4'!F29</f>
        <v>31</v>
      </c>
      <c r="G32" s="31">
        <f>'октябрь 2014г. по 6-10'!G32+'октябрь 2014г. по 0,4'!G29</f>
        <v>1110</v>
      </c>
      <c r="H32" s="24">
        <v>0</v>
      </c>
      <c r="I32" s="24">
        <v>0</v>
      </c>
      <c r="J32" s="31">
        <f>'октябрь 2014г. по 6-10'!J32+'октябрь 2014г. по 0,4'!J29</f>
        <v>39</v>
      </c>
      <c r="K32" s="31">
        <f>'октябрь 2014г. по 6-10'!K32+'октябрь 2014г. по 0,4'!K29</f>
        <v>280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</row>
    <row r="33" spans="1:17" ht="12.75" customHeight="1" x14ac:dyDescent="0.25">
      <c r="A33" s="18"/>
      <c r="B33" s="18"/>
      <c r="C33" s="19" t="s">
        <v>32</v>
      </c>
      <c r="D33" s="31">
        <f>'октябрь 2014г. по 6-10'!D33+'октябрь 2014г. по 0,4'!D30</f>
        <v>14</v>
      </c>
      <c r="E33" s="31">
        <f>'октябрь 2014г. по 6-10'!E33+'октябрь 2014г. по 0,4'!E30</f>
        <v>1074.0999999999999</v>
      </c>
      <c r="F33" s="31">
        <f>'октябрь 2014г. по 6-10'!F33+'октябрь 2014г. по 0,4'!F30</f>
        <v>14</v>
      </c>
      <c r="G33" s="31">
        <f>'октябрь 2014г. по 6-10'!G33+'октябрь 2014г. по 0,4'!G30</f>
        <v>1074.0999999999999</v>
      </c>
      <c r="H33" s="24">
        <v>0</v>
      </c>
      <c r="I33" s="24">
        <v>0</v>
      </c>
      <c r="J33" s="31">
        <f>'октябрь 2014г. по 6-10'!J33+'октябрь 2014г. по 0,4'!J30</f>
        <v>41</v>
      </c>
      <c r="K33" s="31">
        <f>'октябрь 2014г. по 6-10'!K33+'октябрь 2014г. по 0,4'!K30</f>
        <v>320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</row>
    <row r="34" spans="1:17" ht="12.75" customHeight="1" x14ac:dyDescent="0.25">
      <c r="A34" s="18"/>
      <c r="B34" s="18"/>
      <c r="C34" s="19" t="s">
        <v>33</v>
      </c>
      <c r="D34" s="31">
        <f>'октябрь 2014г. по 6-10'!D34+'октябрь 2014г. по 0,4'!D31</f>
        <v>19</v>
      </c>
      <c r="E34" s="31">
        <f>'октябрь 2014г. по 6-10'!E34+'октябрь 2014г. по 0,4'!E31</f>
        <v>440</v>
      </c>
      <c r="F34" s="31">
        <f>'октябрь 2014г. по 6-10'!F34+'октябрь 2014г. по 0,4'!F31</f>
        <v>19</v>
      </c>
      <c r="G34" s="31">
        <f>'октябрь 2014г. по 6-10'!G34+'октябрь 2014г. по 0,4'!G31</f>
        <v>440</v>
      </c>
      <c r="H34" s="24">
        <v>0</v>
      </c>
      <c r="I34" s="24">
        <v>0</v>
      </c>
      <c r="J34" s="31">
        <f>'октябрь 2014г. по 6-10'!J34+'октябрь 2014г. по 0,4'!J31</f>
        <v>25</v>
      </c>
      <c r="K34" s="31">
        <f>'октябрь 2014г. по 6-10'!K34+'октябрь 2014г. по 0,4'!K31</f>
        <v>365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</row>
    <row r="35" spans="1:17" ht="12.75" customHeight="1" x14ac:dyDescent="0.25">
      <c r="A35" s="18"/>
      <c r="B35" s="18"/>
      <c r="C35" s="19" t="s">
        <v>34</v>
      </c>
      <c r="D35" s="31">
        <f>'октябрь 2014г. по 6-10'!D35+'октябрь 2014г. по 0,4'!D32</f>
        <v>24</v>
      </c>
      <c r="E35" s="31">
        <f>'октябрь 2014г. по 6-10'!E35+'октябрь 2014г. по 0,4'!E32</f>
        <v>1145</v>
      </c>
      <c r="F35" s="31">
        <f>'октябрь 2014г. по 6-10'!F35+'октябрь 2014г. по 0,4'!F32</f>
        <v>24</v>
      </c>
      <c r="G35" s="31">
        <f>'октябрь 2014г. по 6-10'!G35+'октябрь 2014г. по 0,4'!G32</f>
        <v>945</v>
      </c>
      <c r="H35" s="24">
        <v>0</v>
      </c>
      <c r="I35" s="24">
        <v>0</v>
      </c>
      <c r="J35" s="31">
        <f>'октябрь 2014г. по 6-10'!J35+'октябрь 2014г. по 0,4'!J32</f>
        <v>20</v>
      </c>
      <c r="K35" s="31">
        <f>'октябрь 2014г. по 6-10'!K35+'октябрь 2014г. по 0,4'!K32</f>
        <v>216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</row>
    <row r="36" spans="1:17" ht="12.75" customHeight="1" x14ac:dyDescent="0.25">
      <c r="A36" s="18"/>
      <c r="B36" s="18"/>
      <c r="C36" s="19" t="s">
        <v>35</v>
      </c>
      <c r="D36" s="31">
        <f>'октябрь 2014г. по 6-10'!D36+'октябрь 2014г. по 0,4'!D33</f>
        <v>68</v>
      </c>
      <c r="E36" s="31">
        <f>'октябрь 2014г. по 6-10'!E36+'октябрь 2014г. по 0,4'!E33</f>
        <v>2355</v>
      </c>
      <c r="F36" s="31">
        <f>'октябрь 2014г. по 6-10'!F36+'октябрь 2014г. по 0,4'!F33</f>
        <v>55</v>
      </c>
      <c r="G36" s="31">
        <f>'октябрь 2014г. по 6-10'!G36+'октябрь 2014г. по 0,4'!G33</f>
        <v>1935.5</v>
      </c>
      <c r="H36" s="24">
        <v>0</v>
      </c>
      <c r="I36" s="24">
        <v>0</v>
      </c>
      <c r="J36" s="31">
        <f>'октябрь 2014г. по 6-10'!J36+'октябрь 2014г. по 0,4'!J33</f>
        <v>38</v>
      </c>
      <c r="K36" s="31">
        <f>'октябрь 2014г. по 6-10'!K36+'октябрь 2014г. по 0,4'!K33</f>
        <v>418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</row>
    <row r="37" spans="1:17" ht="12.75" customHeight="1" x14ac:dyDescent="0.25">
      <c r="A37" s="18"/>
      <c r="B37" s="18"/>
      <c r="C37" s="19" t="s">
        <v>36</v>
      </c>
      <c r="D37" s="31">
        <f>'октябрь 2014г. по 6-10'!D37+'октябрь 2014г. по 0,4'!D34</f>
        <v>10</v>
      </c>
      <c r="E37" s="31">
        <f>'октябрь 2014г. по 6-10'!E37+'октябрь 2014г. по 0,4'!E34</f>
        <v>984</v>
      </c>
      <c r="F37" s="31">
        <f>'октябрь 2014г. по 6-10'!F37+'октябрь 2014г. по 0,4'!F34</f>
        <v>10</v>
      </c>
      <c r="G37" s="31">
        <f>'октябрь 2014г. по 6-10'!G37+'октябрь 2014г. по 0,4'!G34</f>
        <v>134</v>
      </c>
      <c r="H37" s="24">
        <v>0</v>
      </c>
      <c r="I37" s="24">
        <v>0</v>
      </c>
      <c r="J37" s="31">
        <f>'октябрь 2014г. по 6-10'!J37+'октябрь 2014г. по 0,4'!J34</f>
        <v>2</v>
      </c>
      <c r="K37" s="31">
        <f>'октябрь 2014г. по 6-10'!K37+'октябрь 2014г. по 0,4'!K34</f>
        <v>14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</row>
    <row r="38" spans="1:17" ht="12.75" customHeight="1" x14ac:dyDescent="0.2">
      <c r="A38" s="18"/>
      <c r="B38" s="18"/>
      <c r="C38" s="20" t="s">
        <v>30</v>
      </c>
      <c r="D38" s="29">
        <f>D32+D33+D34+D35+D36+D37</f>
        <v>168</v>
      </c>
      <c r="E38" s="29">
        <f t="shared" ref="E38:Q38" si="1">E32+E33+E34+E35+E36+E37</f>
        <v>7508.1</v>
      </c>
      <c r="F38" s="29">
        <f t="shared" si="1"/>
        <v>153</v>
      </c>
      <c r="G38" s="29">
        <f t="shared" si="1"/>
        <v>5638.6</v>
      </c>
      <c r="H38" s="29">
        <f t="shared" si="1"/>
        <v>0</v>
      </c>
      <c r="I38" s="29">
        <f t="shared" si="1"/>
        <v>0</v>
      </c>
      <c r="J38" s="29">
        <f t="shared" si="1"/>
        <v>165</v>
      </c>
      <c r="K38" s="29">
        <f t="shared" si="1"/>
        <v>1613</v>
      </c>
      <c r="L38" s="8">
        <f t="shared" si="1"/>
        <v>0</v>
      </c>
      <c r="M38" s="8">
        <f t="shared" si="1"/>
        <v>0</v>
      </c>
      <c r="N38" s="8">
        <f t="shared" si="1"/>
        <v>0</v>
      </c>
      <c r="O38" s="8">
        <f t="shared" si="1"/>
        <v>0</v>
      </c>
      <c r="P38" s="8">
        <f t="shared" si="1"/>
        <v>0</v>
      </c>
      <c r="Q38" s="8">
        <f t="shared" si="1"/>
        <v>0</v>
      </c>
    </row>
    <row r="39" spans="1:17" ht="22.5" customHeight="1" x14ac:dyDescent="0.25">
      <c r="A39" s="18"/>
      <c r="B39" s="18"/>
      <c r="C39" s="118" t="s">
        <v>37</v>
      </c>
      <c r="D39" s="118"/>
      <c r="E39" s="29"/>
      <c r="F39" s="29"/>
      <c r="G39" s="29"/>
      <c r="H39" s="29"/>
      <c r="I39" s="29"/>
      <c r="J39" s="29"/>
      <c r="K39" s="29"/>
      <c r="L39" s="8"/>
      <c r="M39" s="8"/>
      <c r="N39" s="8"/>
      <c r="O39" s="8"/>
      <c r="P39" s="8"/>
      <c r="Q39" s="8"/>
    </row>
    <row r="40" spans="1:17" ht="12.75" customHeight="1" x14ac:dyDescent="0.25">
      <c r="A40" s="18"/>
      <c r="B40" s="18"/>
      <c r="C40" s="19" t="s">
        <v>38</v>
      </c>
      <c r="D40" s="31">
        <f>'октябрь 2014г. по 6-10'!D40+'октябрь 2014г. по 0,4'!D37</f>
        <v>69</v>
      </c>
      <c r="E40" s="31">
        <f>'октябрь 2014г. по 6-10'!E40+'октябрь 2014г. по 0,4'!E37</f>
        <v>510.5</v>
      </c>
      <c r="F40" s="31">
        <f>'октябрь 2014г. по 6-10'!F40+'октябрь 2014г. по 0,4'!F37</f>
        <v>28</v>
      </c>
      <c r="G40" s="31">
        <f>'октябрь 2014г. по 6-10'!G40+'октябрь 2014г. по 0,4'!G37</f>
        <v>217</v>
      </c>
      <c r="H40" s="24">
        <v>0</v>
      </c>
      <c r="I40" s="24">
        <v>0</v>
      </c>
      <c r="J40" s="31">
        <f>'октябрь 2014г. по 6-10'!J40+'октябрь 2014г. по 0,4'!J37</f>
        <v>70</v>
      </c>
      <c r="K40" s="31">
        <f>'октябрь 2014г. по 6-10'!K40+'октябрь 2014г. по 0,4'!K37</f>
        <v>1060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</row>
    <row r="41" spans="1:17" ht="12.75" customHeight="1" x14ac:dyDescent="0.25">
      <c r="A41" s="18"/>
      <c r="B41" s="18"/>
      <c r="C41" s="19" t="s">
        <v>39</v>
      </c>
      <c r="D41" s="31">
        <f>'октябрь 2014г. по 6-10'!D41+'октябрь 2014г. по 0,4'!D38</f>
        <v>36</v>
      </c>
      <c r="E41" s="31">
        <f>'октябрь 2014г. по 6-10'!E41+'октябрь 2014г. по 0,4'!E38</f>
        <v>1986.2</v>
      </c>
      <c r="F41" s="31">
        <f>'октябрь 2014г. по 6-10'!F41+'октябрь 2014г. по 0,4'!F38</f>
        <v>24</v>
      </c>
      <c r="G41" s="31">
        <f>'октябрь 2014г. по 6-10'!G41+'октябрь 2014г. по 0,4'!G38</f>
        <v>309</v>
      </c>
      <c r="H41" s="24">
        <v>0</v>
      </c>
      <c r="I41" s="24">
        <v>0</v>
      </c>
      <c r="J41" s="31">
        <f>'октябрь 2014г. по 6-10'!J41+'октябрь 2014г. по 0,4'!J38</f>
        <v>12</v>
      </c>
      <c r="K41" s="31">
        <f>'октябрь 2014г. по 6-10'!K41+'октябрь 2014г. по 0,4'!K38</f>
        <v>120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</row>
    <row r="42" spans="1:17" ht="12.75" customHeight="1" x14ac:dyDescent="0.25">
      <c r="A42" s="18"/>
      <c r="B42" s="18"/>
      <c r="C42" s="19" t="s">
        <v>40</v>
      </c>
      <c r="D42" s="31">
        <f>'октябрь 2014г. по 6-10'!D42+'октябрь 2014г. по 0,4'!D39</f>
        <v>27</v>
      </c>
      <c r="E42" s="31">
        <f>'октябрь 2014г. по 6-10'!E42+'октябрь 2014г. по 0,4'!E39</f>
        <v>1034.0999999999999</v>
      </c>
      <c r="F42" s="31">
        <f>'октябрь 2014г. по 6-10'!F42+'октябрь 2014г. по 0,4'!F39</f>
        <v>17</v>
      </c>
      <c r="G42" s="31">
        <f>'октябрь 2014г. по 6-10'!G42+'октябрь 2014г. по 0,4'!G39</f>
        <v>976.1</v>
      </c>
      <c r="H42" s="24">
        <v>0</v>
      </c>
      <c r="I42" s="24">
        <v>0</v>
      </c>
      <c r="J42" s="31">
        <f>'октябрь 2014г. по 6-10'!J42+'октябрь 2014г. по 0,4'!J39</f>
        <v>16</v>
      </c>
      <c r="K42" s="31">
        <f>'октябрь 2014г. по 6-10'!K42+'октябрь 2014г. по 0,4'!K39</f>
        <v>161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</row>
    <row r="43" spans="1:17" ht="12.75" customHeight="1" x14ac:dyDescent="0.25">
      <c r="A43" s="18"/>
      <c r="B43" s="18"/>
      <c r="C43" s="19" t="s">
        <v>41</v>
      </c>
      <c r="D43" s="31">
        <f>'октябрь 2014г. по 6-10'!D43+'октябрь 2014г. по 0,4'!D40</f>
        <v>20</v>
      </c>
      <c r="E43" s="31">
        <f>'октябрь 2014г. по 6-10'!E43+'октябрь 2014г. по 0,4'!E40</f>
        <v>589</v>
      </c>
      <c r="F43" s="31">
        <f>'октябрь 2014г. по 6-10'!F43+'октябрь 2014г. по 0,4'!F40</f>
        <v>11</v>
      </c>
      <c r="G43" s="31">
        <f>'октябрь 2014г. по 6-10'!G43+'октябрь 2014г. по 0,4'!G40</f>
        <v>286</v>
      </c>
      <c r="H43" s="24">
        <v>0</v>
      </c>
      <c r="I43" s="24">
        <v>0</v>
      </c>
      <c r="J43" s="31">
        <f>'октябрь 2014г. по 6-10'!J43+'октябрь 2014г. по 0,4'!J40</f>
        <v>18</v>
      </c>
      <c r="K43" s="31">
        <f>'октябрь 2014г. по 6-10'!K43+'октябрь 2014г. по 0,4'!K40</f>
        <v>100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</row>
    <row r="44" spans="1:17" ht="12.75" customHeight="1" x14ac:dyDescent="0.25">
      <c r="A44" s="18"/>
      <c r="B44" s="18"/>
      <c r="C44" s="19" t="s">
        <v>42</v>
      </c>
      <c r="D44" s="31">
        <f>'октябрь 2014г. по 6-10'!D44+'октябрь 2014г. по 0,4'!D41</f>
        <v>0</v>
      </c>
      <c r="E44" s="31">
        <f>'октябрь 2014г. по 6-10'!E44+'октябрь 2014г. по 0,4'!E41</f>
        <v>0</v>
      </c>
      <c r="F44" s="31">
        <f>'октябрь 2014г. по 6-10'!F44+'октябрь 2014г. по 0,4'!F41</f>
        <v>0</v>
      </c>
      <c r="G44" s="31">
        <f>'октябрь 2014г. по 6-10'!G44+'октябрь 2014г. по 0,4'!G41</f>
        <v>0</v>
      </c>
      <c r="H44" s="24">
        <v>0</v>
      </c>
      <c r="I44" s="24">
        <v>0</v>
      </c>
      <c r="J44" s="31">
        <f>'октябрь 2014г. по 6-10'!J44+'октябрь 2014г. по 0,4'!J41</f>
        <v>0</v>
      </c>
      <c r="K44" s="31">
        <f>'октябрь 2014г. по 6-10'!K44+'октябрь 2014г. по 0,4'!K41</f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</row>
    <row r="45" spans="1:17" ht="12.75" customHeight="1" x14ac:dyDescent="0.25">
      <c r="A45" s="18"/>
      <c r="B45" s="18"/>
      <c r="C45" s="19" t="s">
        <v>43</v>
      </c>
      <c r="D45" s="31">
        <f>'октябрь 2014г. по 6-10'!D45+'октябрь 2014г. по 0,4'!D42</f>
        <v>7</v>
      </c>
      <c r="E45" s="31">
        <f>'октябрь 2014г. по 6-10'!E45+'октябрь 2014г. по 0,4'!E42</f>
        <v>527</v>
      </c>
      <c r="F45" s="31">
        <f>'октябрь 2014г. по 6-10'!F45+'октябрь 2014г. по 0,4'!F42</f>
        <v>7</v>
      </c>
      <c r="G45" s="31">
        <f>'октябрь 2014г. по 6-10'!G45+'октябрь 2014г. по 0,4'!G42</f>
        <v>329</v>
      </c>
      <c r="H45" s="24">
        <v>0</v>
      </c>
      <c r="I45" s="24">
        <v>0</v>
      </c>
      <c r="J45" s="31">
        <f>'октябрь 2014г. по 6-10'!J45+'октябрь 2014г. по 0,4'!J42</f>
        <v>3</v>
      </c>
      <c r="K45" s="31">
        <f>'октябрь 2014г. по 6-10'!K45+'октябрь 2014г. по 0,4'!K42</f>
        <v>12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</row>
    <row r="46" spans="1:17" ht="12.75" customHeight="1" x14ac:dyDescent="0.25">
      <c r="A46" s="18"/>
      <c r="B46" s="18"/>
      <c r="C46" s="19" t="s">
        <v>44</v>
      </c>
      <c r="D46" s="31">
        <f>'октябрь 2014г. по 6-10'!D46+'октябрь 2014г. по 0,4'!D43</f>
        <v>5</v>
      </c>
      <c r="E46" s="31">
        <f>'октябрь 2014г. по 6-10'!E46+'октябрь 2014г. по 0,4'!E43</f>
        <v>35</v>
      </c>
      <c r="F46" s="31">
        <f>'октябрь 2014г. по 6-10'!F46+'октябрь 2014г. по 0,4'!F43</f>
        <v>5</v>
      </c>
      <c r="G46" s="31">
        <f>'октябрь 2014г. по 6-10'!G46+'октябрь 2014г. по 0,4'!G43</f>
        <v>35</v>
      </c>
      <c r="H46" s="24">
        <v>0</v>
      </c>
      <c r="I46" s="24">
        <v>0</v>
      </c>
      <c r="J46" s="31">
        <f>'октябрь 2014г. по 6-10'!J46+'октябрь 2014г. по 0,4'!J43</f>
        <v>19</v>
      </c>
      <c r="K46" s="31">
        <f>'октябрь 2014г. по 6-10'!K46+'октябрь 2014г. по 0,4'!K43</f>
        <v>175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</row>
    <row r="47" spans="1:17" ht="12.75" customHeight="1" x14ac:dyDescent="0.25">
      <c r="A47" s="18"/>
      <c r="B47" s="18"/>
      <c r="C47" s="19" t="s">
        <v>45</v>
      </c>
      <c r="D47" s="31">
        <f>'октябрь 2014г. по 6-10'!D47+'октябрь 2014г. по 0,4'!D44</f>
        <v>0</v>
      </c>
      <c r="E47" s="31">
        <f>'октябрь 2014г. по 6-10'!E47+'октябрь 2014г. по 0,4'!E44</f>
        <v>0</v>
      </c>
      <c r="F47" s="31">
        <f>'октябрь 2014г. по 6-10'!F47+'октябрь 2014г. по 0,4'!F44</f>
        <v>0</v>
      </c>
      <c r="G47" s="31">
        <f>'октябрь 2014г. по 6-10'!G47+'октябрь 2014г. по 0,4'!G44</f>
        <v>0</v>
      </c>
      <c r="H47" s="24">
        <v>0</v>
      </c>
      <c r="I47" s="24">
        <v>0</v>
      </c>
      <c r="J47" s="31">
        <f>'октябрь 2014г. по 6-10'!J47+'октябрь 2014г. по 0,4'!J44</f>
        <v>0</v>
      </c>
      <c r="K47" s="31">
        <f>'октябрь 2014г. по 6-10'!K47+'октябрь 2014г. по 0,4'!K44</f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</row>
    <row r="48" spans="1:17" ht="12.75" customHeight="1" x14ac:dyDescent="0.25">
      <c r="A48" s="18"/>
      <c r="B48" s="18"/>
      <c r="C48" s="19" t="s">
        <v>46</v>
      </c>
      <c r="D48" s="31">
        <f>'октябрь 2014г. по 6-10'!D48+'октябрь 2014г. по 0,4'!D45</f>
        <v>39</v>
      </c>
      <c r="E48" s="31">
        <f>'октябрь 2014г. по 6-10'!E48+'октябрь 2014г. по 0,4'!E45</f>
        <v>2218</v>
      </c>
      <c r="F48" s="31">
        <f>'октябрь 2014г. по 6-10'!F48+'октябрь 2014г. по 0,4'!F45</f>
        <v>26</v>
      </c>
      <c r="G48" s="31">
        <f>'октябрь 2014г. по 6-10'!G48+'октябрь 2014г. по 0,4'!G45</f>
        <v>830</v>
      </c>
      <c r="H48" s="24">
        <v>0</v>
      </c>
      <c r="I48" s="24">
        <v>0</v>
      </c>
      <c r="J48" s="31">
        <f>'октябрь 2014г. по 6-10'!J48+'октябрь 2014г. по 0,4'!J45</f>
        <v>26</v>
      </c>
      <c r="K48" s="31">
        <f>'октябрь 2014г. по 6-10'!K48+'октябрь 2014г. по 0,4'!K45</f>
        <v>221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</row>
    <row r="49" spans="1:17" ht="12.75" customHeight="1" x14ac:dyDescent="0.25">
      <c r="A49" s="18"/>
      <c r="B49" s="18"/>
      <c r="C49" s="19" t="s">
        <v>47</v>
      </c>
      <c r="D49" s="31">
        <f>'октябрь 2014г. по 6-10'!D49+'октябрь 2014г. по 0,4'!D46</f>
        <v>3</v>
      </c>
      <c r="E49" s="31">
        <f>'октябрь 2014г. по 6-10'!E49+'октябрь 2014г. по 0,4'!E46</f>
        <v>201.1</v>
      </c>
      <c r="F49" s="31">
        <f>'октябрь 2014г. по 6-10'!F49+'октябрь 2014г. по 0,4'!F46</f>
        <v>3</v>
      </c>
      <c r="G49" s="31">
        <f>'октябрь 2014г. по 6-10'!G49+'октябрь 2014г. по 0,4'!G46</f>
        <v>201.1</v>
      </c>
      <c r="H49" s="24">
        <v>0</v>
      </c>
      <c r="I49" s="24">
        <v>0</v>
      </c>
      <c r="J49" s="31">
        <f>'октябрь 2014г. по 6-10'!J49+'октябрь 2014г. по 0,4'!J46</f>
        <v>4</v>
      </c>
      <c r="K49" s="31">
        <f>'октябрь 2014г. по 6-10'!K49+'октябрь 2014г. по 0,4'!K46</f>
        <v>135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</row>
    <row r="50" spans="1:17" ht="12.75" customHeight="1" x14ac:dyDescent="0.25">
      <c r="A50" s="18"/>
      <c r="B50" s="18"/>
      <c r="C50" s="19" t="s">
        <v>48</v>
      </c>
      <c r="D50" s="31">
        <f>'октябрь 2014г. по 6-10'!D50+'октябрь 2014г. по 0,4'!D47</f>
        <v>3</v>
      </c>
      <c r="E50" s="31">
        <f>'октябрь 2014г. по 6-10'!E50+'октябрь 2014г. по 0,4'!E47</f>
        <v>183</v>
      </c>
      <c r="F50" s="31">
        <f>'октябрь 2014г. по 6-10'!F50+'октябрь 2014г. по 0,4'!F47</f>
        <v>3</v>
      </c>
      <c r="G50" s="31">
        <f>'октябрь 2014г. по 6-10'!G50+'октябрь 2014г. по 0,4'!G47</f>
        <v>183</v>
      </c>
      <c r="H50" s="24">
        <v>0</v>
      </c>
      <c r="I50" s="24">
        <v>0</v>
      </c>
      <c r="J50" s="31">
        <f>'октябрь 2014г. по 6-10'!J50+'октябрь 2014г. по 0,4'!J47</f>
        <v>0</v>
      </c>
      <c r="K50" s="31">
        <f>'октябрь 2014г. по 6-10'!K50+'октябрь 2014г. по 0,4'!K47</f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</row>
    <row r="51" spans="1:17" ht="12.75" customHeight="1" x14ac:dyDescent="0.25">
      <c r="A51" s="18"/>
      <c r="B51" s="18"/>
      <c r="C51" s="19" t="s">
        <v>49</v>
      </c>
      <c r="D51" s="31">
        <f>'октябрь 2014г. по 6-10'!D51+'октябрь 2014г. по 0,4'!D48</f>
        <v>12</v>
      </c>
      <c r="E51" s="31">
        <f>'октябрь 2014г. по 6-10'!E51+'октябрь 2014г. по 0,4'!E48</f>
        <v>1020</v>
      </c>
      <c r="F51" s="31">
        <f>'октябрь 2014г. по 6-10'!F51+'октябрь 2014г. по 0,4'!F48</f>
        <v>10</v>
      </c>
      <c r="G51" s="31">
        <f>'октябрь 2014г. по 6-10'!G51+'октябрь 2014г. по 0,4'!G48</f>
        <v>515</v>
      </c>
      <c r="H51" s="24">
        <v>0</v>
      </c>
      <c r="I51" s="24">
        <v>0</v>
      </c>
      <c r="J51" s="31">
        <f>'октябрь 2014г. по 6-10'!J51+'октябрь 2014г. по 0,4'!J48</f>
        <v>42</v>
      </c>
      <c r="K51" s="31">
        <f>'октябрь 2014г. по 6-10'!K51+'октябрь 2014г. по 0,4'!K48</f>
        <v>302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</row>
    <row r="52" spans="1:17" ht="12.75" customHeight="1" x14ac:dyDescent="0.2">
      <c r="A52" s="18"/>
      <c r="B52" s="18"/>
      <c r="C52" s="20" t="s">
        <v>30</v>
      </c>
      <c r="D52" s="29">
        <f>D40+D41+D42+D43+D44+D45+D46+D47+D48+D49+D50+D51</f>
        <v>221</v>
      </c>
      <c r="E52" s="29">
        <f t="shared" ref="E52:Q52" si="2">E40+E41+E42+E43+E44+E45+E46+E47+E48+E49+E50+E51</f>
        <v>8303.9</v>
      </c>
      <c r="F52" s="29">
        <f t="shared" si="2"/>
        <v>134</v>
      </c>
      <c r="G52" s="29">
        <f t="shared" si="2"/>
        <v>3881.2</v>
      </c>
      <c r="H52" s="29">
        <f t="shared" si="2"/>
        <v>0</v>
      </c>
      <c r="I52" s="29">
        <f t="shared" si="2"/>
        <v>0</v>
      </c>
      <c r="J52" s="29">
        <f t="shared" si="2"/>
        <v>210</v>
      </c>
      <c r="K52" s="29">
        <f t="shared" si="2"/>
        <v>2286</v>
      </c>
      <c r="L52" s="8">
        <f t="shared" si="2"/>
        <v>0</v>
      </c>
      <c r="M52" s="8">
        <f t="shared" si="2"/>
        <v>0</v>
      </c>
      <c r="N52" s="8">
        <f t="shared" si="2"/>
        <v>0</v>
      </c>
      <c r="O52" s="8">
        <f t="shared" si="2"/>
        <v>0</v>
      </c>
      <c r="P52" s="8">
        <f t="shared" si="2"/>
        <v>0</v>
      </c>
      <c r="Q52" s="8">
        <f t="shared" si="2"/>
        <v>0</v>
      </c>
    </row>
    <row r="53" spans="1:17" ht="21" customHeight="1" x14ac:dyDescent="0.25">
      <c r="A53" s="18"/>
      <c r="B53" s="18"/>
      <c r="C53" s="118" t="s">
        <v>50</v>
      </c>
      <c r="D53" s="118"/>
      <c r="E53" s="29"/>
      <c r="F53" s="29"/>
      <c r="G53" s="29"/>
      <c r="H53" s="29"/>
      <c r="I53" s="29"/>
      <c r="J53" s="29"/>
      <c r="K53" s="29"/>
      <c r="L53" s="8"/>
      <c r="M53" s="8"/>
      <c r="N53" s="8"/>
      <c r="O53" s="8"/>
      <c r="P53" s="8"/>
      <c r="Q53" s="8"/>
    </row>
    <row r="54" spans="1:17" ht="12.75" customHeight="1" x14ac:dyDescent="0.25">
      <c r="A54" s="18"/>
      <c r="B54" s="18"/>
      <c r="C54" s="19" t="s">
        <v>51</v>
      </c>
      <c r="D54" s="31">
        <f>'октябрь 2014г. по 6-10'!D54+'октябрь 2014г. по 0,4'!D51</f>
        <v>5</v>
      </c>
      <c r="E54" s="31">
        <f>'октябрь 2014г. по 6-10'!E54+'октябрь 2014г. по 0,4'!E51</f>
        <v>438</v>
      </c>
      <c r="F54" s="31">
        <f>'октябрь 2014г. по 6-10'!F54+'октябрь 2014г. по 0,4'!F51</f>
        <v>5</v>
      </c>
      <c r="G54" s="31">
        <f>'октябрь 2014г. по 6-10'!G54+'октябрь 2014г. по 0,4'!G51</f>
        <v>438</v>
      </c>
      <c r="H54" s="24">
        <v>2</v>
      </c>
      <c r="I54" s="24">
        <v>350</v>
      </c>
      <c r="J54" s="31">
        <f>'октябрь 2014г. по 6-10'!J54+'октябрь 2014г. по 0,4'!J51</f>
        <v>46</v>
      </c>
      <c r="K54" s="31">
        <f>'октябрь 2014г. по 6-10'!K54+'октябрь 2014г. по 0,4'!K51</f>
        <v>364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</row>
    <row r="55" spans="1:17" ht="12.75" customHeight="1" x14ac:dyDescent="0.25">
      <c r="A55" s="18"/>
      <c r="B55" s="18"/>
      <c r="C55" s="19" t="s">
        <v>52</v>
      </c>
      <c r="D55" s="31">
        <f>'октябрь 2014г. по 6-10'!D55+'октябрь 2014г. по 0,4'!D52</f>
        <v>2</v>
      </c>
      <c r="E55" s="31">
        <f>'октябрь 2014г. по 6-10'!E55+'октябрь 2014г. по 0,4'!E52</f>
        <v>24</v>
      </c>
      <c r="F55" s="31">
        <f>'октябрь 2014г. по 6-10'!F55+'октябрь 2014г. по 0,4'!F52</f>
        <v>2</v>
      </c>
      <c r="G55" s="31">
        <f>'октябрь 2014г. по 6-10'!G55+'октябрь 2014г. по 0,4'!G52</f>
        <v>24</v>
      </c>
      <c r="H55" s="24">
        <v>0</v>
      </c>
      <c r="I55" s="24">
        <v>0</v>
      </c>
      <c r="J55" s="31">
        <f>'октябрь 2014г. по 6-10'!J55+'октябрь 2014г. по 0,4'!J52</f>
        <v>0</v>
      </c>
      <c r="K55" s="31">
        <f>'октябрь 2014г. по 6-10'!K55+'октябрь 2014г. по 0,4'!K52</f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</row>
    <row r="56" spans="1:17" ht="12.75" customHeight="1" x14ac:dyDescent="0.25">
      <c r="A56" s="18"/>
      <c r="B56" s="18"/>
      <c r="C56" s="19" t="s">
        <v>53</v>
      </c>
      <c r="D56" s="31">
        <f>'октябрь 2014г. по 6-10'!D56+'октябрь 2014г. по 0,4'!D53</f>
        <v>4</v>
      </c>
      <c r="E56" s="31">
        <f>'октябрь 2014г. по 6-10'!E56+'октябрь 2014г. по 0,4'!E53</f>
        <v>130</v>
      </c>
      <c r="F56" s="31">
        <f>'октябрь 2014г. по 6-10'!F56+'октябрь 2014г. по 0,4'!F53</f>
        <v>4</v>
      </c>
      <c r="G56" s="31">
        <f>'октябрь 2014г. по 6-10'!G56+'октябрь 2014г. по 0,4'!G53</f>
        <v>125</v>
      </c>
      <c r="H56" s="24">
        <v>0</v>
      </c>
      <c r="I56" s="24">
        <v>0</v>
      </c>
      <c r="J56" s="31">
        <f>'октябрь 2014г. по 6-10'!J56+'октябрь 2014г. по 0,4'!J53</f>
        <v>28</v>
      </c>
      <c r="K56" s="31">
        <f>'октябрь 2014г. по 6-10'!K56+'октябрь 2014г. по 0,4'!K53</f>
        <v>180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</row>
    <row r="57" spans="1:17" ht="12.75" customHeight="1" x14ac:dyDescent="0.25">
      <c r="A57" s="18"/>
      <c r="B57" s="18"/>
      <c r="C57" s="19" t="s">
        <v>54</v>
      </c>
      <c r="D57" s="31">
        <f>'октябрь 2014г. по 6-10'!D57+'октябрь 2014г. по 0,4'!D54</f>
        <v>3</v>
      </c>
      <c r="E57" s="31">
        <f>'октябрь 2014г. по 6-10'!E57+'октябрь 2014г. по 0,4'!E54</f>
        <v>155</v>
      </c>
      <c r="F57" s="31">
        <f>'октябрь 2014г. по 6-10'!F57+'октябрь 2014г. по 0,4'!F54</f>
        <v>3</v>
      </c>
      <c r="G57" s="31">
        <f>'октябрь 2014г. по 6-10'!G57+'октябрь 2014г. по 0,4'!G54</f>
        <v>145</v>
      </c>
      <c r="H57" s="24">
        <v>0</v>
      </c>
      <c r="I57" s="24">
        <v>0</v>
      </c>
      <c r="J57" s="31">
        <f>'октябрь 2014г. по 6-10'!J57+'октябрь 2014г. по 0,4'!J54</f>
        <v>16</v>
      </c>
      <c r="K57" s="31">
        <f>'октябрь 2014г. по 6-10'!K57+'октябрь 2014г. по 0,4'!K54</f>
        <v>78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</row>
    <row r="58" spans="1:17" ht="12.75" customHeight="1" x14ac:dyDescent="0.25">
      <c r="A58" s="18"/>
      <c r="B58" s="18"/>
      <c r="C58" s="19" t="s">
        <v>55</v>
      </c>
      <c r="D58" s="31">
        <f>'октябрь 2014г. по 6-10'!D58+'октябрь 2014г. по 0,4'!D55</f>
        <v>19</v>
      </c>
      <c r="E58" s="31">
        <f>'октябрь 2014г. по 6-10'!E58+'октябрь 2014г. по 0,4'!E55</f>
        <v>677</v>
      </c>
      <c r="F58" s="31">
        <f>'октябрь 2014г. по 6-10'!F58+'октябрь 2014г. по 0,4'!F55</f>
        <v>13</v>
      </c>
      <c r="G58" s="31">
        <f>'октябрь 2014г. по 6-10'!G58+'октябрь 2014г. по 0,4'!G55</f>
        <v>273</v>
      </c>
      <c r="H58" s="24">
        <v>0</v>
      </c>
      <c r="I58" s="24">
        <v>0</v>
      </c>
      <c r="J58" s="31">
        <f>'октябрь 2014г. по 6-10'!J58+'октябрь 2014г. по 0,4'!J55</f>
        <v>2</v>
      </c>
      <c r="K58" s="31">
        <f>'октябрь 2014г. по 6-10'!K58+'октябрь 2014г. по 0,4'!K55</f>
        <v>20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</row>
    <row r="59" spans="1:17" ht="12.75" customHeight="1" x14ac:dyDescent="0.25">
      <c r="A59" s="18"/>
      <c r="B59" s="18"/>
      <c r="C59" s="19" t="s">
        <v>56</v>
      </c>
      <c r="D59" s="31">
        <f>'октябрь 2014г. по 6-10'!D59+'октябрь 2014г. по 0,4'!D56</f>
        <v>13</v>
      </c>
      <c r="E59" s="31">
        <f>'октябрь 2014г. по 6-10'!E59+'октябрь 2014г. по 0,4'!E56</f>
        <v>246</v>
      </c>
      <c r="F59" s="31">
        <f>'октябрь 2014г. по 6-10'!F59+'октябрь 2014г. по 0,4'!F56</f>
        <v>2</v>
      </c>
      <c r="G59" s="31">
        <f>'октябрь 2014г. по 6-10'!G59+'октябрь 2014г. по 0,4'!G56</f>
        <v>10</v>
      </c>
      <c r="H59" s="24">
        <v>2</v>
      </c>
      <c r="I59" s="24">
        <v>395</v>
      </c>
      <c r="J59" s="31">
        <f>'октябрь 2014г. по 6-10'!J59+'октябрь 2014г. по 0,4'!J56</f>
        <v>1</v>
      </c>
      <c r="K59" s="31">
        <f>'октябрь 2014г. по 6-10'!K59+'октябрь 2014г. по 0,4'!K56</f>
        <v>5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</row>
    <row r="60" spans="1:17" ht="12.75" customHeight="1" x14ac:dyDescent="0.25">
      <c r="A60" s="18"/>
      <c r="B60" s="18"/>
      <c r="C60" s="19" t="s">
        <v>57</v>
      </c>
      <c r="D60" s="31">
        <f>'октябрь 2014г. по 6-10'!D60+'октябрь 2014г. по 0,4'!D57</f>
        <v>11</v>
      </c>
      <c r="E60" s="31">
        <f>'октябрь 2014г. по 6-10'!E60+'октябрь 2014г. по 0,4'!E57</f>
        <v>277</v>
      </c>
      <c r="F60" s="31">
        <f>'октябрь 2014г. по 6-10'!F60+'октябрь 2014г. по 0,4'!F57</f>
        <v>3</v>
      </c>
      <c r="G60" s="31">
        <f>'октябрь 2014г. по 6-10'!G60+'октябрь 2014г. по 0,4'!G57</f>
        <v>190</v>
      </c>
      <c r="H60" s="24">
        <v>0</v>
      </c>
      <c r="I60" s="24">
        <v>0</v>
      </c>
      <c r="J60" s="31">
        <f>'октябрь 2014г. по 6-10'!J60+'октябрь 2014г. по 0,4'!J57</f>
        <v>34</v>
      </c>
      <c r="K60" s="31">
        <f>'октябрь 2014г. по 6-10'!K60+'октябрь 2014г. по 0,4'!K57</f>
        <v>245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</row>
    <row r="61" spans="1:17" ht="12.75" customHeight="1" x14ac:dyDescent="0.25">
      <c r="A61" s="18"/>
      <c r="B61" s="18"/>
      <c r="C61" s="19" t="s">
        <v>58</v>
      </c>
      <c r="D61" s="31">
        <f>'октябрь 2014г. по 6-10'!D61+'октябрь 2014г. по 0,4'!D58</f>
        <v>0</v>
      </c>
      <c r="E61" s="31">
        <f>'октябрь 2014г. по 6-10'!E61+'октябрь 2014г. по 0,4'!E58</f>
        <v>0</v>
      </c>
      <c r="F61" s="31">
        <f>'октябрь 2014г. по 6-10'!F61+'октябрь 2014г. по 0,4'!F58</f>
        <v>0</v>
      </c>
      <c r="G61" s="31">
        <f>'октябрь 2014г. по 6-10'!G61+'октябрь 2014г. по 0,4'!G58</f>
        <v>0</v>
      </c>
      <c r="H61" s="24">
        <v>0</v>
      </c>
      <c r="I61" s="24">
        <v>0</v>
      </c>
      <c r="J61" s="31">
        <f>'октябрь 2014г. по 6-10'!J61+'октябрь 2014г. по 0,4'!J58</f>
        <v>0</v>
      </c>
      <c r="K61" s="31">
        <f>'октябрь 2014г. по 6-10'!K61+'октябрь 2014г. по 0,4'!K58</f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</row>
    <row r="62" spans="1:17" ht="12.75" customHeight="1" x14ac:dyDescent="0.25">
      <c r="A62" s="18"/>
      <c r="B62" s="18"/>
      <c r="C62" s="19" t="s">
        <v>59</v>
      </c>
      <c r="D62" s="31">
        <f>'октябрь 2014г. по 6-10'!D62+'октябрь 2014г. по 0,4'!D59</f>
        <v>2</v>
      </c>
      <c r="E62" s="31">
        <f>'октябрь 2014г. по 6-10'!E62+'октябрь 2014г. по 0,4'!E59</f>
        <v>15</v>
      </c>
      <c r="F62" s="31">
        <f>'октябрь 2014г. по 6-10'!F62+'октябрь 2014г. по 0,4'!F59</f>
        <v>2</v>
      </c>
      <c r="G62" s="31">
        <f>'октябрь 2014г. по 6-10'!G62+'октябрь 2014г. по 0,4'!G59</f>
        <v>15</v>
      </c>
      <c r="H62" s="24">
        <v>0</v>
      </c>
      <c r="I62" s="24">
        <v>0</v>
      </c>
      <c r="J62" s="31">
        <f>'октябрь 2014г. по 6-10'!J62+'октябрь 2014г. по 0,4'!J59</f>
        <v>0</v>
      </c>
      <c r="K62" s="31">
        <f>'октябрь 2014г. по 6-10'!K62+'октябрь 2014г. по 0,4'!K59</f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</row>
    <row r="63" spans="1:17" ht="12.75" customHeight="1" x14ac:dyDescent="0.2">
      <c r="A63" s="18"/>
      <c r="B63" s="18"/>
      <c r="C63" s="19" t="s">
        <v>30</v>
      </c>
      <c r="D63" s="29">
        <f>D54+D55+D56+D57+D58+D59+D60+D61+D62</f>
        <v>59</v>
      </c>
      <c r="E63" s="29">
        <f t="shared" ref="E63:Q63" si="3">E54+E55+E56+E57+E58+E59+E60+E61+E62</f>
        <v>1962</v>
      </c>
      <c r="F63" s="29">
        <f t="shared" si="3"/>
        <v>34</v>
      </c>
      <c r="G63" s="29">
        <f t="shared" si="3"/>
        <v>1220</v>
      </c>
      <c r="H63" s="29">
        <f t="shared" si="3"/>
        <v>4</v>
      </c>
      <c r="I63" s="29">
        <f t="shared" si="3"/>
        <v>745</v>
      </c>
      <c r="J63" s="29">
        <f t="shared" si="3"/>
        <v>127</v>
      </c>
      <c r="K63" s="29">
        <f t="shared" si="3"/>
        <v>892</v>
      </c>
      <c r="L63" s="8">
        <f t="shared" si="3"/>
        <v>0</v>
      </c>
      <c r="M63" s="8">
        <f t="shared" si="3"/>
        <v>0</v>
      </c>
      <c r="N63" s="8">
        <f t="shared" si="3"/>
        <v>0</v>
      </c>
      <c r="O63" s="8">
        <f t="shared" si="3"/>
        <v>0</v>
      </c>
      <c r="P63" s="8">
        <f t="shared" si="3"/>
        <v>0</v>
      </c>
      <c r="Q63" s="8">
        <f t="shared" si="3"/>
        <v>0</v>
      </c>
    </row>
    <row r="64" spans="1:17" ht="19.5" customHeight="1" x14ac:dyDescent="0.25">
      <c r="A64" s="18"/>
      <c r="B64" s="18"/>
      <c r="C64" s="118" t="s">
        <v>60</v>
      </c>
      <c r="D64" s="118"/>
      <c r="E64" s="29"/>
      <c r="F64" s="29"/>
      <c r="G64" s="29"/>
      <c r="H64" s="24"/>
      <c r="I64" s="24"/>
      <c r="J64" s="29"/>
      <c r="K64" s="29"/>
      <c r="L64" s="8"/>
      <c r="M64" s="8"/>
      <c r="N64" s="8"/>
      <c r="O64" s="8"/>
      <c r="P64" s="8"/>
      <c r="Q64" s="8"/>
    </row>
    <row r="65" spans="1:17" ht="12.75" customHeight="1" x14ac:dyDescent="0.25">
      <c r="A65" s="18"/>
      <c r="B65" s="18"/>
      <c r="C65" s="19" t="s">
        <v>61</v>
      </c>
      <c r="D65" s="31">
        <f>'октябрь 2014г. по 6-10'!D64+'октябрь 2014г. по 0,4'!D61</f>
        <v>618</v>
      </c>
      <c r="E65" s="31">
        <f>'октябрь 2014г. по 6-10'!E64+'октябрь 2014г. по 0,4'!E61</f>
        <v>27031</v>
      </c>
      <c r="F65" s="31">
        <f>'октябрь 2014г. по 6-10'!F64+'октябрь 2014г. по 0,4'!F61</f>
        <v>443</v>
      </c>
      <c r="G65" s="31">
        <f>'октябрь 2014г. по 6-10'!G64+'октябрь 2014г. по 0,4'!G61</f>
        <v>14392.2</v>
      </c>
      <c r="H65" s="24">
        <v>0</v>
      </c>
      <c r="I65" s="24">
        <v>0</v>
      </c>
      <c r="J65" s="31">
        <f>'октябрь 2014г. по 6-10'!J64+'октябрь 2014г. по 0,4'!J61</f>
        <v>773</v>
      </c>
      <c r="K65" s="31">
        <f>'октябрь 2014г. по 6-10'!K64+'октябрь 2014г. по 0,4'!K61</f>
        <v>8350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</row>
    <row r="66" spans="1:17" ht="12.75" customHeight="1" x14ac:dyDescent="0.25">
      <c r="A66" s="18"/>
      <c r="B66" s="18"/>
      <c r="C66" s="19" t="s">
        <v>62</v>
      </c>
      <c r="D66" s="31">
        <f>'октябрь 2014г. по 6-10'!D65+'октябрь 2014г. по 0,4'!D62</f>
        <v>0</v>
      </c>
      <c r="E66" s="31">
        <f>'октябрь 2014г. по 6-10'!E65+'октябрь 2014г. по 0,4'!E62</f>
        <v>0</v>
      </c>
      <c r="F66" s="31">
        <f>'октябрь 2014г. по 6-10'!F65+'октябрь 2014г. по 0,4'!F62</f>
        <v>0</v>
      </c>
      <c r="G66" s="31">
        <f>'октябрь 2014г. по 6-10'!G65+'октябрь 2014г. по 0,4'!G62</f>
        <v>0</v>
      </c>
      <c r="H66" s="24">
        <v>0</v>
      </c>
      <c r="I66" s="24">
        <v>0</v>
      </c>
      <c r="J66" s="31">
        <f>'октябрь 2014г. по 6-10'!J65+'октябрь 2014г. по 0,4'!J62</f>
        <v>0</v>
      </c>
      <c r="K66" s="31">
        <f>'октябрь 2014г. по 6-10'!K65+'октябрь 2014г. по 0,4'!K62</f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</row>
    <row r="67" spans="1:17" ht="12.75" customHeight="1" x14ac:dyDescent="0.25">
      <c r="A67" s="18"/>
      <c r="B67" s="18"/>
      <c r="C67" s="19" t="s">
        <v>63</v>
      </c>
      <c r="D67" s="31">
        <f>'октябрь 2014г. по 6-10'!D66+'октябрь 2014г. по 0,4'!D63</f>
        <v>72</v>
      </c>
      <c r="E67" s="31">
        <f>'октябрь 2014г. по 6-10'!E66+'октябрь 2014г. по 0,4'!E63</f>
        <v>1361</v>
      </c>
      <c r="F67" s="31">
        <f>'октябрь 2014г. по 6-10'!F66+'октябрь 2014г. по 0,4'!F63</f>
        <v>71</v>
      </c>
      <c r="G67" s="31">
        <f>'октябрь 2014г. по 6-10'!G66+'октябрь 2014г. по 0,4'!G63</f>
        <v>860</v>
      </c>
      <c r="H67" s="24">
        <v>0</v>
      </c>
      <c r="I67" s="24">
        <v>0</v>
      </c>
      <c r="J67" s="31">
        <f>'октябрь 2014г. по 6-10'!J66+'октябрь 2014г. по 0,4'!J63</f>
        <v>54</v>
      </c>
      <c r="K67" s="31">
        <f>'октябрь 2014г. по 6-10'!K66+'октябрь 2014г. по 0,4'!K63</f>
        <v>1130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</row>
    <row r="68" spans="1:17" ht="12.75" customHeight="1" x14ac:dyDescent="0.25">
      <c r="A68" s="18"/>
      <c r="B68" s="18"/>
      <c r="C68" s="19" t="s">
        <v>64</v>
      </c>
      <c r="D68" s="31">
        <f>'октябрь 2014г. по 6-10'!D67+'октябрь 2014г. по 0,4'!D64</f>
        <v>50</v>
      </c>
      <c r="E68" s="31">
        <f>'октябрь 2014г. по 6-10'!E67+'октябрь 2014г. по 0,4'!E64</f>
        <v>1760.5</v>
      </c>
      <c r="F68" s="31">
        <f>'октябрь 2014г. по 6-10'!F67+'октябрь 2014г. по 0,4'!F64</f>
        <v>44</v>
      </c>
      <c r="G68" s="31">
        <f>'октябрь 2014г. по 6-10'!G67+'октябрь 2014г. по 0,4'!G64</f>
        <v>710.5</v>
      </c>
      <c r="H68" s="24">
        <v>0</v>
      </c>
      <c r="I68" s="24">
        <v>0</v>
      </c>
      <c r="J68" s="31">
        <f>'октябрь 2014г. по 6-10'!J67+'октябрь 2014г. по 0,4'!J64</f>
        <v>40</v>
      </c>
      <c r="K68" s="31">
        <f>'октябрь 2014г. по 6-10'!K67+'октябрь 2014г. по 0,4'!K64</f>
        <v>1040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</row>
    <row r="69" spans="1:17" ht="12.75" customHeight="1" x14ac:dyDescent="0.25">
      <c r="A69" s="18"/>
      <c r="B69" s="18"/>
      <c r="C69" s="19" t="s">
        <v>65</v>
      </c>
      <c r="D69" s="31">
        <f>'октябрь 2014г. по 6-10'!D68+'октябрь 2014г. по 0,4'!D65</f>
        <v>8</v>
      </c>
      <c r="E69" s="31">
        <f>'октябрь 2014г. по 6-10'!E68+'октябрь 2014г. по 0,4'!E65</f>
        <v>619.5</v>
      </c>
      <c r="F69" s="31">
        <f>'октябрь 2014г. по 6-10'!F68+'октябрь 2014г. по 0,4'!F65</f>
        <v>8</v>
      </c>
      <c r="G69" s="31">
        <f>'октябрь 2014г. по 6-10'!G68+'октябрь 2014г. по 0,4'!G65</f>
        <v>119.5</v>
      </c>
      <c r="H69" s="24">
        <v>0</v>
      </c>
      <c r="I69" s="24">
        <v>0</v>
      </c>
      <c r="J69" s="31">
        <f>'октябрь 2014г. по 6-10'!J68+'октябрь 2014г. по 0,4'!J65</f>
        <v>4</v>
      </c>
      <c r="K69" s="31">
        <f>'октябрь 2014г. по 6-10'!K68+'октябрь 2014г. по 0,4'!K65</f>
        <v>10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</row>
    <row r="70" spans="1:17" ht="12.75" customHeight="1" x14ac:dyDescent="0.2">
      <c r="A70" s="18"/>
      <c r="B70" s="18"/>
      <c r="C70" s="20" t="s">
        <v>30</v>
      </c>
      <c r="D70" s="29">
        <f>D65+D66+D67+D68+D69</f>
        <v>748</v>
      </c>
      <c r="E70" s="29">
        <f t="shared" ref="E70:Q70" si="4">E65+E66+E67+E68+E69</f>
        <v>30772</v>
      </c>
      <c r="F70" s="29">
        <f t="shared" si="4"/>
        <v>566</v>
      </c>
      <c r="G70" s="29">
        <f t="shared" si="4"/>
        <v>16082.2</v>
      </c>
      <c r="H70" s="29">
        <f t="shared" si="4"/>
        <v>0</v>
      </c>
      <c r="I70" s="29">
        <f t="shared" si="4"/>
        <v>0</v>
      </c>
      <c r="J70" s="29">
        <f t="shared" si="4"/>
        <v>871</v>
      </c>
      <c r="K70" s="29">
        <f t="shared" si="4"/>
        <v>10530</v>
      </c>
      <c r="L70" s="8">
        <f t="shared" si="4"/>
        <v>0</v>
      </c>
      <c r="M70" s="8">
        <f t="shared" si="4"/>
        <v>0</v>
      </c>
      <c r="N70" s="8">
        <f t="shared" si="4"/>
        <v>0</v>
      </c>
      <c r="O70" s="8">
        <f t="shared" si="4"/>
        <v>0</v>
      </c>
      <c r="P70" s="8">
        <f t="shared" si="4"/>
        <v>0</v>
      </c>
      <c r="Q70" s="8">
        <f t="shared" si="4"/>
        <v>0</v>
      </c>
    </row>
    <row r="71" spans="1:17" ht="21" customHeight="1" x14ac:dyDescent="0.25">
      <c r="A71" s="18"/>
      <c r="B71" s="18"/>
      <c r="C71" s="118" t="s">
        <v>66</v>
      </c>
      <c r="D71" s="118"/>
      <c r="E71" s="29"/>
      <c r="F71" s="29"/>
      <c r="G71" s="29"/>
      <c r="H71" s="24"/>
      <c r="I71" s="24"/>
      <c r="J71" s="29"/>
      <c r="K71" s="29"/>
      <c r="L71" s="8"/>
      <c r="M71" s="8"/>
      <c r="N71" s="8"/>
      <c r="O71" s="8"/>
      <c r="P71" s="8"/>
      <c r="Q71" s="8"/>
    </row>
    <row r="72" spans="1:17" ht="12.75" customHeight="1" x14ac:dyDescent="0.25">
      <c r="A72" s="18"/>
      <c r="B72" s="18"/>
      <c r="C72" s="19" t="s">
        <v>67</v>
      </c>
      <c r="D72" s="31">
        <f>'октябрь 2014г. по 6-10'!D71+'октябрь 2014г. по 0,4'!D68</f>
        <v>1</v>
      </c>
      <c r="E72" s="31">
        <f>'октябрь 2014г. по 6-10'!E71+'октябрь 2014г. по 0,4'!E68</f>
        <v>10</v>
      </c>
      <c r="F72" s="31">
        <f>'октябрь 2014г. по 6-10'!F71+'октябрь 2014г. по 0,4'!F68</f>
        <v>1</v>
      </c>
      <c r="G72" s="31">
        <f>'октябрь 2014г. по 6-10'!G71+'октябрь 2014г. по 0,4'!G68</f>
        <v>10</v>
      </c>
      <c r="H72" s="24">
        <v>0</v>
      </c>
      <c r="I72" s="24">
        <v>0</v>
      </c>
      <c r="J72" s="31">
        <f>'октябрь 2014г. по 6-10'!J71+'октябрь 2014г. по 0,4'!J68</f>
        <v>0</v>
      </c>
      <c r="K72" s="31">
        <f>'октябрь 2014г. по 6-10'!K71+'октябрь 2014г. по 0,4'!K68</f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</row>
    <row r="73" spans="1:17" ht="12.75" customHeight="1" x14ac:dyDescent="0.25">
      <c r="A73" s="18"/>
      <c r="B73" s="18"/>
      <c r="C73" s="19" t="s">
        <v>68</v>
      </c>
      <c r="D73" s="31">
        <f>'октябрь 2014г. по 6-10'!D72+'октябрь 2014г. по 0,4'!D69</f>
        <v>17</v>
      </c>
      <c r="E73" s="31">
        <f>'октябрь 2014г. по 6-10'!E72+'октябрь 2014г. по 0,4'!E69</f>
        <v>165</v>
      </c>
      <c r="F73" s="31">
        <f>'октябрь 2014г. по 6-10'!F72+'октябрь 2014г. по 0,4'!F69</f>
        <v>7</v>
      </c>
      <c r="G73" s="31">
        <f>'октябрь 2014г. по 6-10'!G72+'октябрь 2014г. по 0,4'!G69</f>
        <v>80</v>
      </c>
      <c r="H73" s="24">
        <v>0</v>
      </c>
      <c r="I73" s="24">
        <v>0</v>
      </c>
      <c r="J73" s="31">
        <f>'октябрь 2014г. по 6-10'!J72+'октябрь 2014г. по 0,4'!J69</f>
        <v>0</v>
      </c>
      <c r="K73" s="31">
        <f>'октябрь 2014г. по 6-10'!K72+'октябрь 2014г. по 0,4'!K69</f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</row>
    <row r="74" spans="1:17" ht="12.75" customHeight="1" x14ac:dyDescent="0.25">
      <c r="A74" s="18"/>
      <c r="B74" s="18"/>
      <c r="C74" s="19" t="s">
        <v>69</v>
      </c>
      <c r="D74" s="31">
        <f>'октябрь 2014г. по 6-10'!D73+'октябрь 2014г. по 0,4'!D70</f>
        <v>1</v>
      </c>
      <c r="E74" s="31">
        <f>'октябрь 2014г. по 6-10'!E73+'октябрь 2014г. по 0,4'!E70</f>
        <v>15</v>
      </c>
      <c r="F74" s="31">
        <f>'октябрь 2014г. по 6-10'!F73+'октябрь 2014г. по 0,4'!F70</f>
        <v>1</v>
      </c>
      <c r="G74" s="31">
        <f>'октябрь 2014г. по 6-10'!G73+'октябрь 2014г. по 0,4'!G70</f>
        <v>15</v>
      </c>
      <c r="H74" s="24">
        <v>1</v>
      </c>
      <c r="I74" s="24">
        <v>5.6</v>
      </c>
      <c r="J74" s="31">
        <f>'октябрь 2014г. по 6-10'!J73+'октябрь 2014г. по 0,4'!J70</f>
        <v>0</v>
      </c>
      <c r="K74" s="31">
        <f>'октябрь 2014г. по 6-10'!K73+'октябрь 2014г. по 0,4'!K70</f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</row>
    <row r="75" spans="1:17" ht="12.75" customHeight="1" x14ac:dyDescent="0.25">
      <c r="A75" s="18"/>
      <c r="B75" s="18"/>
      <c r="C75" s="19" t="s">
        <v>70</v>
      </c>
      <c r="D75" s="31">
        <f>'октябрь 2014г. по 6-10'!D74+'октябрь 2014г. по 0,4'!D71</f>
        <v>14</v>
      </c>
      <c r="E75" s="31">
        <f>'октябрь 2014г. по 6-10'!E74+'октябрь 2014г. по 0,4'!E71</f>
        <v>562</v>
      </c>
      <c r="F75" s="31">
        <f>'октябрь 2014г. по 6-10'!F74+'октябрь 2014г. по 0,4'!F71</f>
        <v>11</v>
      </c>
      <c r="G75" s="31">
        <f>'октябрь 2014г. по 6-10'!G74+'октябрь 2014г. по 0,4'!G71</f>
        <v>222</v>
      </c>
      <c r="H75" s="24">
        <v>1</v>
      </c>
      <c r="I75" s="24">
        <v>6</v>
      </c>
      <c r="J75" s="31">
        <f>'октябрь 2014г. по 6-10'!J74+'октябрь 2014г. по 0,4'!J71</f>
        <v>5</v>
      </c>
      <c r="K75" s="31">
        <f>'октябрь 2014г. по 6-10'!K74+'октябрь 2014г. по 0,4'!K71</f>
        <v>420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</row>
    <row r="76" spans="1:17" ht="12.75" customHeight="1" x14ac:dyDescent="0.25">
      <c r="A76" s="18"/>
      <c r="B76" s="18"/>
      <c r="C76" s="19" t="s">
        <v>71</v>
      </c>
      <c r="D76" s="31">
        <f>'октябрь 2014г. по 6-10'!D75+'октябрь 2014г. по 0,4'!D72</f>
        <v>1</v>
      </c>
      <c r="E76" s="31">
        <f>'октябрь 2014г. по 6-10'!E75+'октябрь 2014г. по 0,4'!E72</f>
        <v>6</v>
      </c>
      <c r="F76" s="31">
        <f>'октябрь 2014г. по 6-10'!F75+'октябрь 2014г. по 0,4'!F72</f>
        <v>1</v>
      </c>
      <c r="G76" s="31">
        <f>'октябрь 2014г. по 6-10'!G75+'октябрь 2014г. по 0,4'!G72</f>
        <v>6</v>
      </c>
      <c r="H76" s="24">
        <v>0</v>
      </c>
      <c r="I76" s="24">
        <v>0</v>
      </c>
      <c r="J76" s="31">
        <f>'октябрь 2014г. по 6-10'!J75+'октябрь 2014г. по 0,4'!J72</f>
        <v>0</v>
      </c>
      <c r="K76" s="31">
        <f>'октябрь 2014г. по 6-10'!K75+'октябрь 2014г. по 0,4'!K72</f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</row>
    <row r="77" spans="1:17" ht="12.75" customHeight="1" x14ac:dyDescent="0.25">
      <c r="A77" s="18"/>
      <c r="B77" s="18"/>
      <c r="C77" s="19" t="s">
        <v>72</v>
      </c>
      <c r="D77" s="31">
        <f>'октябрь 2014г. по 6-10'!D76+'октябрь 2014г. по 0,4'!D73</f>
        <v>0</v>
      </c>
      <c r="E77" s="31">
        <f>'октябрь 2014г. по 6-10'!E76+'октябрь 2014г. по 0,4'!E73</f>
        <v>0</v>
      </c>
      <c r="F77" s="31">
        <f>'октябрь 2014г. по 6-10'!F76+'октябрь 2014г. по 0,4'!F73</f>
        <v>0</v>
      </c>
      <c r="G77" s="31">
        <f>'октябрь 2014г. по 6-10'!G76+'октябрь 2014г. по 0,4'!G73</f>
        <v>0</v>
      </c>
      <c r="H77" s="24">
        <v>0</v>
      </c>
      <c r="I77" s="24">
        <v>0</v>
      </c>
      <c r="J77" s="31">
        <f>'октябрь 2014г. по 6-10'!J76+'октябрь 2014г. по 0,4'!J73</f>
        <v>29</v>
      </c>
      <c r="K77" s="31">
        <f>'октябрь 2014г. по 6-10'!K76+'октябрь 2014г. по 0,4'!K73</f>
        <v>198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</row>
    <row r="78" spans="1:17" ht="12.75" customHeight="1" x14ac:dyDescent="0.2">
      <c r="A78" s="18"/>
      <c r="B78" s="18"/>
      <c r="C78" s="20" t="s">
        <v>30</v>
      </c>
      <c r="D78" s="29">
        <f>D72+D73+D74+D75+D76+D77</f>
        <v>34</v>
      </c>
      <c r="E78" s="29">
        <f t="shared" ref="E78:Q78" si="5">E72+E73+E74+E75+E76+E77</f>
        <v>758</v>
      </c>
      <c r="F78" s="29">
        <f t="shared" si="5"/>
        <v>21</v>
      </c>
      <c r="G78" s="29">
        <f t="shared" si="5"/>
        <v>333</v>
      </c>
      <c r="H78" s="29">
        <f t="shared" si="5"/>
        <v>2</v>
      </c>
      <c r="I78" s="29">
        <f t="shared" si="5"/>
        <v>11.6</v>
      </c>
      <c r="J78" s="29">
        <f t="shared" si="5"/>
        <v>34</v>
      </c>
      <c r="K78" s="29">
        <f t="shared" si="5"/>
        <v>618</v>
      </c>
      <c r="L78" s="8">
        <f t="shared" si="5"/>
        <v>0</v>
      </c>
      <c r="M78" s="8">
        <f t="shared" si="5"/>
        <v>0</v>
      </c>
      <c r="N78" s="8">
        <f t="shared" si="5"/>
        <v>0</v>
      </c>
      <c r="O78" s="8">
        <f t="shared" si="5"/>
        <v>0</v>
      </c>
      <c r="P78" s="8">
        <f t="shared" si="5"/>
        <v>0</v>
      </c>
      <c r="Q78" s="8">
        <f t="shared" si="5"/>
        <v>0</v>
      </c>
    </row>
    <row r="79" spans="1:17" ht="21.75" customHeight="1" x14ac:dyDescent="0.25">
      <c r="A79" s="18"/>
      <c r="B79" s="18"/>
      <c r="C79" s="118" t="s">
        <v>73</v>
      </c>
      <c r="D79" s="118"/>
      <c r="E79" s="29"/>
      <c r="F79" s="29"/>
      <c r="G79" s="29"/>
      <c r="H79" s="29"/>
      <c r="I79" s="29"/>
      <c r="J79" s="29"/>
      <c r="K79" s="29"/>
      <c r="L79" s="8"/>
      <c r="M79" s="8"/>
      <c r="N79" s="8"/>
      <c r="O79" s="8"/>
      <c r="P79" s="8"/>
      <c r="Q79" s="8"/>
    </row>
    <row r="80" spans="1:17" ht="12.75" customHeight="1" x14ac:dyDescent="0.25">
      <c r="A80" s="18"/>
      <c r="B80" s="18"/>
      <c r="C80" s="19" t="s">
        <v>74</v>
      </c>
      <c r="D80" s="31">
        <f>'октябрь 2014г. по 6-10'!D79+'октябрь 2014г. по 0,4'!D76</f>
        <v>1</v>
      </c>
      <c r="E80" s="31">
        <f>'октябрь 2014г. по 6-10'!E79+'октябрь 2014г. по 0,4'!E76</f>
        <v>90</v>
      </c>
      <c r="F80" s="31">
        <f>'октябрь 2014г. по 6-10'!F79+'октябрь 2014г. по 0,4'!F76</f>
        <v>1</v>
      </c>
      <c r="G80" s="31">
        <f>'октябрь 2014г. по 6-10'!G79+'октябрь 2014г. по 0,4'!G76</f>
        <v>10</v>
      </c>
      <c r="H80" s="24">
        <v>0</v>
      </c>
      <c r="I80" s="24">
        <v>0</v>
      </c>
      <c r="J80" s="31">
        <f>'октябрь 2014г. по 6-10'!J79+'октябрь 2014г. по 0,4'!J76</f>
        <v>0</v>
      </c>
      <c r="K80" s="31">
        <f>'октябрь 2014г. по 6-10'!K79+'октябрь 2014г. по 0,4'!K76</f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</row>
    <row r="81" spans="1:17" ht="12.75" customHeight="1" x14ac:dyDescent="0.25">
      <c r="A81" s="18"/>
      <c r="B81" s="18"/>
      <c r="C81" s="19" t="s">
        <v>75</v>
      </c>
      <c r="D81" s="31">
        <f>'октябрь 2014г. по 6-10'!D80+'октябрь 2014г. по 0,4'!D77</f>
        <v>1</v>
      </c>
      <c r="E81" s="31">
        <f>'октябрь 2014г. по 6-10'!E80+'октябрь 2014г. по 0,4'!E77</f>
        <v>7</v>
      </c>
      <c r="F81" s="31">
        <f>'октябрь 2014г. по 6-10'!F80+'октябрь 2014г. по 0,4'!F77</f>
        <v>1</v>
      </c>
      <c r="G81" s="31">
        <f>'октябрь 2014г. по 6-10'!G80+'октябрь 2014г. по 0,4'!G77</f>
        <v>7</v>
      </c>
      <c r="H81" s="24">
        <v>1</v>
      </c>
      <c r="I81" s="24">
        <v>5</v>
      </c>
      <c r="J81" s="31">
        <f>'октябрь 2014г. по 6-10'!J80+'октябрь 2014г. по 0,4'!J77</f>
        <v>0</v>
      </c>
      <c r="K81" s="31">
        <f>'октябрь 2014г. по 6-10'!K80+'октябрь 2014г. по 0,4'!K77</f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</row>
    <row r="82" spans="1:17" ht="12.75" customHeight="1" x14ac:dyDescent="0.25">
      <c r="A82" s="18"/>
      <c r="B82" s="18"/>
      <c r="C82" s="19" t="s">
        <v>76</v>
      </c>
      <c r="D82" s="31">
        <f>'октябрь 2014г. по 6-10'!D81+'октябрь 2014г. по 0,4'!D78</f>
        <v>11</v>
      </c>
      <c r="E82" s="31">
        <f>'октябрь 2014г. по 6-10'!E81+'октябрь 2014г. по 0,4'!E78</f>
        <v>716</v>
      </c>
      <c r="F82" s="31">
        <f>'октябрь 2014г. по 6-10'!F81+'октябрь 2014г. по 0,4'!F78</f>
        <v>7</v>
      </c>
      <c r="G82" s="31">
        <f>'октябрь 2014г. по 6-10'!G81+'октябрь 2014г. по 0,4'!G78</f>
        <v>62</v>
      </c>
      <c r="H82" s="24">
        <v>0</v>
      </c>
      <c r="I82" s="24">
        <v>0</v>
      </c>
      <c r="J82" s="31">
        <f>'октябрь 2014г. по 6-10'!J81+'октябрь 2014г. по 0,4'!J78</f>
        <v>2</v>
      </c>
      <c r="K82" s="31">
        <f>'октябрь 2014г. по 6-10'!K81+'октябрь 2014г. по 0,4'!K78</f>
        <v>160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</row>
    <row r="83" spans="1:17" ht="12.75" customHeight="1" x14ac:dyDescent="0.25">
      <c r="A83" s="18"/>
      <c r="B83" s="18"/>
      <c r="C83" s="19" t="s">
        <v>77</v>
      </c>
      <c r="D83" s="31">
        <f>'октябрь 2014г. по 6-10'!D82+'октябрь 2014г. по 0,4'!D79</f>
        <v>2</v>
      </c>
      <c r="E83" s="31">
        <f>'октябрь 2014г. по 6-10'!E82+'октябрь 2014г. по 0,4'!E79</f>
        <v>30</v>
      </c>
      <c r="F83" s="31">
        <f>'октябрь 2014г. по 6-10'!F82+'октябрь 2014г. по 0,4'!F79</f>
        <v>2</v>
      </c>
      <c r="G83" s="31">
        <f>'октябрь 2014г. по 6-10'!G82+'октябрь 2014г. по 0,4'!G79</f>
        <v>10</v>
      </c>
      <c r="H83" s="24">
        <v>0</v>
      </c>
      <c r="I83" s="24">
        <v>0</v>
      </c>
      <c r="J83" s="31">
        <f>'октябрь 2014г. по 6-10'!J82+'октябрь 2014г. по 0,4'!J79</f>
        <v>0</v>
      </c>
      <c r="K83" s="31">
        <f>'октябрь 2014г. по 6-10'!K82+'октябрь 2014г. по 0,4'!K79</f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</row>
    <row r="84" spans="1:17" ht="12.75" customHeight="1" x14ac:dyDescent="0.25">
      <c r="A84" s="18"/>
      <c r="B84" s="18"/>
      <c r="C84" s="19" t="s">
        <v>78</v>
      </c>
      <c r="D84" s="31">
        <f>'октябрь 2014г. по 6-10'!D83+'октябрь 2014г. по 0,4'!D80</f>
        <v>5</v>
      </c>
      <c r="E84" s="31">
        <f>'октябрь 2014г. по 6-10'!E83+'октябрь 2014г. по 0,4'!E80</f>
        <v>165</v>
      </c>
      <c r="F84" s="31">
        <f>'октябрь 2014г. по 6-10'!F83+'октябрь 2014г. по 0,4'!F80</f>
        <v>5</v>
      </c>
      <c r="G84" s="31">
        <f>'октябрь 2014г. по 6-10'!G83+'октябрь 2014г. по 0,4'!G80</f>
        <v>83</v>
      </c>
      <c r="H84" s="24">
        <v>0</v>
      </c>
      <c r="I84" s="24">
        <v>0</v>
      </c>
      <c r="J84" s="31">
        <f>'октябрь 2014г. по 6-10'!J83+'октябрь 2014г. по 0,4'!J80</f>
        <v>0</v>
      </c>
      <c r="K84" s="31">
        <f>'октябрь 2014г. по 6-10'!K83+'октябрь 2014г. по 0,4'!K80</f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</row>
    <row r="85" spans="1:17" ht="12.75" customHeight="1" x14ac:dyDescent="0.25">
      <c r="A85" s="18"/>
      <c r="B85" s="18"/>
      <c r="C85" s="19" t="s">
        <v>79</v>
      </c>
      <c r="D85" s="31">
        <f>'октябрь 2014г. по 6-10'!D84+'октябрь 2014г. по 0,4'!D81</f>
        <v>7</v>
      </c>
      <c r="E85" s="31">
        <f>'октябрь 2014г. по 6-10'!E84+'октябрь 2014г. по 0,4'!E81</f>
        <v>55</v>
      </c>
      <c r="F85" s="31">
        <f>'октябрь 2014г. по 6-10'!F84+'октябрь 2014г. по 0,4'!F81</f>
        <v>7</v>
      </c>
      <c r="G85" s="31">
        <f>'октябрь 2014г. по 6-10'!G84+'октябрь 2014г. по 0,4'!G81</f>
        <v>55</v>
      </c>
      <c r="H85" s="24">
        <v>0</v>
      </c>
      <c r="I85" s="24">
        <v>0</v>
      </c>
      <c r="J85" s="31">
        <f>'октябрь 2014г. по 6-10'!J84+'октябрь 2014г. по 0,4'!J81</f>
        <v>0</v>
      </c>
      <c r="K85" s="31">
        <f>'октябрь 2014г. по 6-10'!K84+'октябрь 2014г. по 0,4'!K81</f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</row>
    <row r="86" spans="1:17" ht="12.75" customHeight="1" x14ac:dyDescent="0.25">
      <c r="A86" s="18"/>
      <c r="B86" s="18"/>
      <c r="C86" s="19" t="s">
        <v>80</v>
      </c>
      <c r="D86" s="31">
        <f>'октябрь 2014г. по 6-10'!D85+'октябрь 2014г. по 0,4'!D82</f>
        <v>2</v>
      </c>
      <c r="E86" s="31">
        <f>'октябрь 2014г. по 6-10'!E85+'октябрь 2014г. по 0,4'!E82</f>
        <v>149</v>
      </c>
      <c r="F86" s="31">
        <f>'октябрь 2014г. по 6-10'!F85+'октябрь 2014г. по 0,4'!F82</f>
        <v>1</v>
      </c>
      <c r="G86" s="31">
        <f>'октябрь 2014г. по 6-10'!G85+'октябрь 2014г. по 0,4'!G82</f>
        <v>4</v>
      </c>
      <c r="H86" s="24">
        <v>0</v>
      </c>
      <c r="I86" s="24">
        <v>0</v>
      </c>
      <c r="J86" s="31">
        <f>'октябрь 2014г. по 6-10'!J85+'октябрь 2014г. по 0,4'!J82</f>
        <v>1</v>
      </c>
      <c r="K86" s="31">
        <f>'октябрь 2014г. по 6-10'!K85+'октябрь 2014г. по 0,4'!K82</f>
        <v>4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</row>
    <row r="87" spans="1:17" ht="12.75" customHeight="1" x14ac:dyDescent="0.25">
      <c r="A87" s="18"/>
      <c r="B87" s="18"/>
      <c r="C87" s="19" t="s">
        <v>81</v>
      </c>
      <c r="D87" s="31">
        <f>'октябрь 2014г. по 6-10'!D86+'октябрь 2014г. по 0,4'!D83</f>
        <v>8</v>
      </c>
      <c r="E87" s="31">
        <f>'октябрь 2014г. по 6-10'!E86+'октябрь 2014г. по 0,4'!E83</f>
        <v>182</v>
      </c>
      <c r="F87" s="31">
        <f>'октябрь 2014г. по 6-10'!F86+'октябрь 2014г. по 0,4'!F83</f>
        <v>6</v>
      </c>
      <c r="G87" s="31">
        <f>'октябрь 2014г. по 6-10'!G86+'октябрь 2014г. по 0,4'!G83</f>
        <v>34</v>
      </c>
      <c r="H87" s="24">
        <v>0</v>
      </c>
      <c r="I87" s="24">
        <v>0</v>
      </c>
      <c r="J87" s="31">
        <f>'октябрь 2014г. по 6-10'!J86+'октябрь 2014г. по 0,4'!J83</f>
        <v>0</v>
      </c>
      <c r="K87" s="31">
        <f>'октябрь 2014г. по 6-10'!K86+'октябрь 2014г. по 0,4'!K83</f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</row>
    <row r="88" spans="1:17" ht="12.75" customHeight="1" x14ac:dyDescent="0.25">
      <c r="A88" s="18"/>
      <c r="B88" s="18"/>
      <c r="C88" s="19" t="s">
        <v>82</v>
      </c>
      <c r="D88" s="31">
        <f>'октябрь 2014г. по 6-10'!D87+'октябрь 2014г. по 0,4'!D84</f>
        <v>4</v>
      </c>
      <c r="E88" s="31">
        <f>'октябрь 2014г. по 6-10'!E87+'октябрь 2014г. по 0,4'!E84</f>
        <v>345</v>
      </c>
      <c r="F88" s="31">
        <f>'октябрь 2014г. по 6-10'!F87+'октябрь 2014г. по 0,4'!F84</f>
        <v>1</v>
      </c>
      <c r="G88" s="31">
        <f>'октябрь 2014г. по 6-10'!G87+'октябрь 2014г. по 0,4'!G84</f>
        <v>5</v>
      </c>
      <c r="H88" s="24">
        <v>0</v>
      </c>
      <c r="I88" s="24">
        <v>0</v>
      </c>
      <c r="J88" s="31">
        <f>'октябрь 2014г. по 6-10'!J87+'октябрь 2014г. по 0,4'!J84</f>
        <v>0</v>
      </c>
      <c r="K88" s="31">
        <f>'октябрь 2014г. по 6-10'!K87+'октябрь 2014г. по 0,4'!K84</f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</row>
    <row r="89" spans="1:17" ht="12.75" customHeight="1" x14ac:dyDescent="0.25">
      <c r="A89" s="18"/>
      <c r="B89" s="18"/>
      <c r="C89" s="19" t="s">
        <v>83</v>
      </c>
      <c r="D89" s="31">
        <f>'октябрь 2014г. по 6-10'!D88+'октябрь 2014г. по 0,4'!D85</f>
        <v>1</v>
      </c>
      <c r="E89" s="31">
        <f>'октябрь 2014г. по 6-10'!E88+'октябрь 2014г. по 0,4'!E85</f>
        <v>65</v>
      </c>
      <c r="F89" s="31">
        <f>'октябрь 2014г. по 6-10'!F88+'октябрь 2014г. по 0,4'!F85</f>
        <v>1</v>
      </c>
      <c r="G89" s="31">
        <f>'октябрь 2014г. по 6-10'!G88+'октябрь 2014г. по 0,4'!G85</f>
        <v>15</v>
      </c>
      <c r="H89" s="24">
        <v>0</v>
      </c>
      <c r="I89" s="24">
        <v>0</v>
      </c>
      <c r="J89" s="31">
        <f>'октябрь 2014г. по 6-10'!J88+'октябрь 2014г. по 0,4'!J85</f>
        <v>0</v>
      </c>
      <c r="K89" s="31">
        <f>'октябрь 2014г. по 6-10'!K88+'октябрь 2014г. по 0,4'!K85</f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</row>
    <row r="90" spans="1:17" ht="12.75" customHeight="1" x14ac:dyDescent="0.25">
      <c r="A90" s="18"/>
      <c r="B90" s="18"/>
      <c r="C90" s="19" t="s">
        <v>84</v>
      </c>
      <c r="D90" s="31">
        <f>'октябрь 2014г. по 6-10'!D89+'октябрь 2014г. по 0,4'!D86</f>
        <v>0</v>
      </c>
      <c r="E90" s="31">
        <f>'октябрь 2014г. по 6-10'!E89+'октябрь 2014г. по 0,4'!E86</f>
        <v>0</v>
      </c>
      <c r="F90" s="31">
        <f>'октябрь 2014г. по 6-10'!F89+'октябрь 2014г. по 0,4'!F86</f>
        <v>0</v>
      </c>
      <c r="G90" s="31">
        <f>'октябрь 2014г. по 6-10'!G89+'октябрь 2014г. по 0,4'!G86</f>
        <v>0</v>
      </c>
      <c r="H90" s="24">
        <v>0</v>
      </c>
      <c r="I90" s="24">
        <v>0</v>
      </c>
      <c r="J90" s="31">
        <f>'октябрь 2014г. по 6-10'!J89+'октябрь 2014г. по 0,4'!J86</f>
        <v>0</v>
      </c>
      <c r="K90" s="31">
        <f>'октябрь 2014г. по 6-10'!K89+'октябрь 2014г. по 0,4'!K86</f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</row>
    <row r="91" spans="1:17" ht="12.75" customHeight="1" x14ac:dyDescent="0.2">
      <c r="A91" s="18"/>
      <c r="B91" s="18"/>
      <c r="C91" s="20" t="s">
        <v>30</v>
      </c>
      <c r="D91" s="29">
        <f>D80+D81+D82+D83+D84+D85+D86+D87+D88+D89+D90</f>
        <v>42</v>
      </c>
      <c r="E91" s="29">
        <f t="shared" ref="E91:Q91" si="6">E80+E81+E82+E83+E84+E85+E86+E87+E88+E89+E90</f>
        <v>1804</v>
      </c>
      <c r="F91" s="29">
        <f t="shared" si="6"/>
        <v>32</v>
      </c>
      <c r="G91" s="29">
        <f t="shared" si="6"/>
        <v>285</v>
      </c>
      <c r="H91" s="29">
        <f t="shared" si="6"/>
        <v>1</v>
      </c>
      <c r="I91" s="29">
        <f t="shared" si="6"/>
        <v>5</v>
      </c>
      <c r="J91" s="29">
        <f t="shared" si="6"/>
        <v>3</v>
      </c>
      <c r="K91" s="29">
        <f t="shared" si="6"/>
        <v>164</v>
      </c>
      <c r="L91" s="8">
        <f t="shared" si="6"/>
        <v>0</v>
      </c>
      <c r="M91" s="8">
        <f t="shared" si="6"/>
        <v>0</v>
      </c>
      <c r="N91" s="8">
        <f t="shared" si="6"/>
        <v>0</v>
      </c>
      <c r="O91" s="8">
        <f t="shared" si="6"/>
        <v>0</v>
      </c>
      <c r="P91" s="8">
        <f t="shared" si="6"/>
        <v>0</v>
      </c>
      <c r="Q91" s="8">
        <f t="shared" si="6"/>
        <v>0</v>
      </c>
    </row>
    <row r="92" spans="1:17" ht="21" customHeight="1" x14ac:dyDescent="0.25">
      <c r="A92" s="18"/>
      <c r="B92" s="18"/>
      <c r="C92" s="118" t="s">
        <v>85</v>
      </c>
      <c r="D92" s="118"/>
      <c r="E92" s="29"/>
      <c r="F92" s="29"/>
      <c r="G92" s="29"/>
      <c r="H92" s="29"/>
      <c r="I92" s="29"/>
      <c r="J92" s="29"/>
      <c r="K92" s="29"/>
      <c r="L92" s="8"/>
      <c r="M92" s="8"/>
      <c r="N92" s="8"/>
      <c r="O92" s="8"/>
      <c r="P92" s="8"/>
      <c r="Q92" s="8"/>
    </row>
    <row r="93" spans="1:17" ht="12.75" customHeight="1" x14ac:dyDescent="0.25">
      <c r="A93" s="18"/>
      <c r="B93" s="18"/>
      <c r="C93" s="19" t="s">
        <v>86</v>
      </c>
      <c r="D93" s="31">
        <f>'октябрь 2014г. по 6-10'!D92+'октябрь 2014г. по 0,4'!D89</f>
        <v>1</v>
      </c>
      <c r="E93" s="31">
        <f>'октябрь 2014г. по 6-10'!E92+'октябрь 2014г. по 0,4'!E89</f>
        <v>114</v>
      </c>
      <c r="F93" s="31">
        <f>'октябрь 2014г. по 6-10'!F92+'октябрь 2014г. по 0,4'!F89</f>
        <v>1</v>
      </c>
      <c r="G93" s="31">
        <f>'октябрь 2014г. по 6-10'!G92+'октябрь 2014г. по 0,4'!G89</f>
        <v>15</v>
      </c>
      <c r="H93" s="24">
        <v>1</v>
      </c>
      <c r="I93" s="24">
        <v>15</v>
      </c>
      <c r="J93" s="31">
        <f>'октябрь 2014г. по 6-10'!J92+'октябрь 2014г. по 0,4'!J89</f>
        <v>0</v>
      </c>
      <c r="K93" s="31">
        <f>'октябрь 2014г. по 6-10'!K92+'октябрь 2014г. по 0,4'!K89</f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</row>
    <row r="94" spans="1:17" ht="12.75" customHeight="1" x14ac:dyDescent="0.25">
      <c r="A94" s="18"/>
      <c r="B94" s="18"/>
      <c r="C94" s="19" t="s">
        <v>87</v>
      </c>
      <c r="D94" s="31">
        <f>'октябрь 2014г. по 6-10'!D93+'октябрь 2014г. по 0,4'!D90</f>
        <v>16</v>
      </c>
      <c r="E94" s="31">
        <f>'октябрь 2014г. по 6-10'!E93+'октябрь 2014г. по 0,4'!E90</f>
        <v>279</v>
      </c>
      <c r="F94" s="31">
        <f>'октябрь 2014г. по 6-10'!F93+'октябрь 2014г. по 0,4'!F90</f>
        <v>15</v>
      </c>
      <c r="G94" s="31">
        <f>'октябрь 2014г. по 6-10'!G93+'октябрь 2014г. по 0,4'!G90</f>
        <v>179</v>
      </c>
      <c r="H94" s="24">
        <v>0</v>
      </c>
      <c r="I94" s="24">
        <v>0</v>
      </c>
      <c r="J94" s="31">
        <f>'октябрь 2014г. по 6-10'!J93+'октябрь 2014г. по 0,4'!J90</f>
        <v>0</v>
      </c>
      <c r="K94" s="31">
        <f>'октябрь 2014г. по 6-10'!K93+'октябрь 2014г. по 0,4'!K90</f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</row>
    <row r="95" spans="1:17" ht="12.75" customHeight="1" x14ac:dyDescent="0.25">
      <c r="A95" s="18"/>
      <c r="B95" s="18"/>
      <c r="C95" s="19" t="s">
        <v>88</v>
      </c>
      <c r="D95" s="31">
        <f>'октябрь 2014г. по 6-10'!D94+'октябрь 2014г. по 0,4'!D91</f>
        <v>0</v>
      </c>
      <c r="E95" s="31">
        <f>'октябрь 2014г. по 6-10'!E94+'октябрь 2014г. по 0,4'!E91</f>
        <v>0</v>
      </c>
      <c r="F95" s="31">
        <f>'октябрь 2014г. по 6-10'!F94+'октябрь 2014г. по 0,4'!F91</f>
        <v>0</v>
      </c>
      <c r="G95" s="31">
        <f>'октябрь 2014г. по 6-10'!G94+'октябрь 2014г. по 0,4'!G91</f>
        <v>0</v>
      </c>
      <c r="H95" s="24">
        <v>0</v>
      </c>
      <c r="I95" s="24">
        <v>0</v>
      </c>
      <c r="J95" s="31">
        <f>'октябрь 2014г. по 6-10'!J94+'октябрь 2014г. по 0,4'!J91</f>
        <v>0</v>
      </c>
      <c r="K95" s="31">
        <f>'октябрь 2014г. по 6-10'!K94+'октябрь 2014г. по 0,4'!K91</f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</row>
    <row r="96" spans="1:17" ht="12.75" customHeight="1" x14ac:dyDescent="0.25">
      <c r="A96" s="18"/>
      <c r="B96" s="18"/>
      <c r="C96" s="19" t="s">
        <v>72</v>
      </c>
      <c r="D96" s="31">
        <f>'октябрь 2014г. по 6-10'!D95+'октябрь 2014г. по 0,4'!D92</f>
        <v>0</v>
      </c>
      <c r="E96" s="31">
        <f>'октябрь 2014г. по 6-10'!E95+'октябрь 2014г. по 0,4'!E92</f>
        <v>0</v>
      </c>
      <c r="F96" s="31">
        <f>'октябрь 2014г. по 6-10'!F95+'октябрь 2014г. по 0,4'!F92</f>
        <v>0</v>
      </c>
      <c r="G96" s="31">
        <f>'октябрь 2014г. по 6-10'!G95+'октябрь 2014г. по 0,4'!G92</f>
        <v>0</v>
      </c>
      <c r="H96" s="24">
        <v>0</v>
      </c>
      <c r="I96" s="24">
        <v>0</v>
      </c>
      <c r="J96" s="31">
        <f>'октябрь 2014г. по 6-10'!J95+'октябрь 2014г. по 0,4'!J92</f>
        <v>0</v>
      </c>
      <c r="K96" s="31">
        <f>'октябрь 2014г. по 6-10'!K95+'октябрь 2014г. по 0,4'!K92</f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</row>
    <row r="97" spans="1:17" ht="12.75" customHeight="1" x14ac:dyDescent="0.25">
      <c r="A97" s="18"/>
      <c r="B97" s="18"/>
      <c r="C97" s="19" t="s">
        <v>89</v>
      </c>
      <c r="D97" s="31">
        <f>'октябрь 2014г. по 6-10'!D96+'октябрь 2014г. по 0,4'!D93</f>
        <v>1</v>
      </c>
      <c r="E97" s="31">
        <f>'октябрь 2014г. по 6-10'!E96+'октябрь 2014г. по 0,4'!E93</f>
        <v>6</v>
      </c>
      <c r="F97" s="31">
        <f>'октябрь 2014г. по 6-10'!F96+'октябрь 2014г. по 0,4'!F93</f>
        <v>1</v>
      </c>
      <c r="G97" s="31">
        <f>'октябрь 2014г. по 6-10'!G96+'октябрь 2014г. по 0,4'!G93</f>
        <v>6</v>
      </c>
      <c r="H97" s="24">
        <v>0</v>
      </c>
      <c r="I97" s="24">
        <v>0</v>
      </c>
      <c r="J97" s="31">
        <f>'октябрь 2014г. по 6-10'!J96+'октябрь 2014г. по 0,4'!J93</f>
        <v>0</v>
      </c>
      <c r="K97" s="31">
        <f>'октябрь 2014г. по 6-10'!K96+'октябрь 2014г. по 0,4'!K93</f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</row>
    <row r="98" spans="1:17" ht="12.75" customHeight="1" x14ac:dyDescent="0.25">
      <c r="A98" s="18"/>
      <c r="B98" s="18"/>
      <c r="C98" s="19" t="s">
        <v>90</v>
      </c>
      <c r="D98" s="31">
        <f>'октябрь 2014г. по 6-10'!D97+'октябрь 2014г. по 0,4'!D94</f>
        <v>8</v>
      </c>
      <c r="E98" s="31">
        <f>'октябрь 2014г. по 6-10'!E97+'октябрь 2014г. по 0,4'!E94</f>
        <v>117</v>
      </c>
      <c r="F98" s="31">
        <f>'октябрь 2014г. по 6-10'!F97+'октябрь 2014г. по 0,4'!F94</f>
        <v>8</v>
      </c>
      <c r="G98" s="31">
        <f>'октябрь 2014г. по 6-10'!G97+'октябрь 2014г. по 0,4'!G94</f>
        <v>103</v>
      </c>
      <c r="H98" s="24">
        <v>0</v>
      </c>
      <c r="I98" s="24">
        <v>0</v>
      </c>
      <c r="J98" s="31">
        <f>'октябрь 2014г. по 6-10'!J97+'октябрь 2014г. по 0,4'!J94</f>
        <v>0</v>
      </c>
      <c r="K98" s="31">
        <f>'октябрь 2014г. по 6-10'!K97+'октябрь 2014г. по 0,4'!K94</f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</row>
    <row r="99" spans="1:17" ht="12.75" customHeight="1" x14ac:dyDescent="0.25">
      <c r="A99" s="18"/>
      <c r="B99" s="18"/>
      <c r="C99" s="19" t="s">
        <v>91</v>
      </c>
      <c r="D99" s="31">
        <f>'октябрь 2014г. по 6-10'!D98+'октябрь 2014г. по 0,4'!D95</f>
        <v>4</v>
      </c>
      <c r="E99" s="31">
        <f>'октябрь 2014г. по 6-10'!E98+'октябрь 2014г. по 0,4'!E95</f>
        <v>121</v>
      </c>
      <c r="F99" s="31">
        <f>'октябрь 2014г. по 6-10'!F98+'октябрь 2014г. по 0,4'!F95</f>
        <v>4</v>
      </c>
      <c r="G99" s="31">
        <f>'октябрь 2014г. по 6-10'!G98+'октябрь 2014г. по 0,4'!G95</f>
        <v>97</v>
      </c>
      <c r="H99" s="24">
        <v>0</v>
      </c>
      <c r="I99" s="24">
        <v>0</v>
      </c>
      <c r="J99" s="31">
        <f>'октябрь 2014г. по 6-10'!J98+'октябрь 2014г. по 0,4'!J95</f>
        <v>0</v>
      </c>
      <c r="K99" s="31">
        <f>'октябрь 2014г. по 6-10'!K98+'октябрь 2014г. по 0,4'!K95</f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</row>
    <row r="100" spans="1:17" ht="12.75" customHeight="1" x14ac:dyDescent="0.25">
      <c r="A100" s="18"/>
      <c r="B100" s="18"/>
      <c r="C100" s="19" t="s">
        <v>92</v>
      </c>
      <c r="D100" s="31">
        <f>'октябрь 2014г. по 6-10'!D99+'октябрь 2014г. по 0,4'!D96</f>
        <v>7</v>
      </c>
      <c r="E100" s="31">
        <f>'октябрь 2014г. по 6-10'!E99+'октябрь 2014г. по 0,4'!E96</f>
        <v>179</v>
      </c>
      <c r="F100" s="31">
        <f>'октябрь 2014г. по 6-10'!F99+'октябрь 2014г. по 0,4'!F96</f>
        <v>7</v>
      </c>
      <c r="G100" s="31">
        <f>'октябрь 2014г. по 6-10'!G99+'октябрь 2014г. по 0,4'!G96</f>
        <v>179</v>
      </c>
      <c r="H100" s="24">
        <v>0</v>
      </c>
      <c r="I100" s="24">
        <v>0</v>
      </c>
      <c r="J100" s="31">
        <f>'октябрь 2014г. по 6-10'!J99+'октябрь 2014г. по 0,4'!J96</f>
        <v>1</v>
      </c>
      <c r="K100" s="31">
        <f>'октябрь 2014г. по 6-10'!K99+'октябрь 2014г. по 0,4'!K96</f>
        <v>6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</row>
    <row r="101" spans="1:17" ht="12.75" customHeight="1" x14ac:dyDescent="0.25">
      <c r="A101" s="18"/>
      <c r="B101" s="18"/>
      <c r="C101" s="19" t="s">
        <v>93</v>
      </c>
      <c r="D101" s="31">
        <f>'октябрь 2014г. по 6-10'!D100+'октябрь 2014г. по 0,4'!D97</f>
        <v>1</v>
      </c>
      <c r="E101" s="31">
        <f>'октябрь 2014г. по 6-10'!E100+'октябрь 2014г. по 0,4'!E97</f>
        <v>7</v>
      </c>
      <c r="F101" s="31">
        <f>'октябрь 2014г. по 6-10'!F100+'октябрь 2014г. по 0,4'!F97</f>
        <v>1</v>
      </c>
      <c r="G101" s="31">
        <f>'октябрь 2014г. по 6-10'!G100+'октябрь 2014г. по 0,4'!G97</f>
        <v>7</v>
      </c>
      <c r="H101" s="24">
        <v>0</v>
      </c>
      <c r="I101" s="24">
        <v>0</v>
      </c>
      <c r="J101" s="31">
        <f>'октябрь 2014г. по 6-10'!J100+'октябрь 2014г. по 0,4'!J97</f>
        <v>0</v>
      </c>
      <c r="K101" s="31">
        <f>'октябрь 2014г. по 6-10'!K100+'октябрь 2014г. по 0,4'!K97</f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</row>
    <row r="102" spans="1:17" ht="12.75" customHeight="1" x14ac:dyDescent="0.2">
      <c r="A102" s="18"/>
      <c r="B102" s="18"/>
      <c r="C102" s="19" t="s">
        <v>30</v>
      </c>
      <c r="D102" s="29">
        <f>D93+D94+D95+D96+D97+D98+D99+D100+D101</f>
        <v>38</v>
      </c>
      <c r="E102" s="29">
        <f t="shared" ref="E102:Q102" si="7">E93+E94+E95+E96+E97+E98+E99+E100+E101</f>
        <v>823</v>
      </c>
      <c r="F102" s="29">
        <f t="shared" si="7"/>
        <v>37</v>
      </c>
      <c r="G102" s="29">
        <f t="shared" si="7"/>
        <v>586</v>
      </c>
      <c r="H102" s="29">
        <f t="shared" si="7"/>
        <v>1</v>
      </c>
      <c r="I102" s="29">
        <f t="shared" si="7"/>
        <v>15</v>
      </c>
      <c r="J102" s="29">
        <f t="shared" si="7"/>
        <v>1</v>
      </c>
      <c r="K102" s="29">
        <f t="shared" si="7"/>
        <v>6</v>
      </c>
      <c r="L102" s="8">
        <f t="shared" si="7"/>
        <v>0</v>
      </c>
      <c r="M102" s="8">
        <f t="shared" si="7"/>
        <v>0</v>
      </c>
      <c r="N102" s="8">
        <f t="shared" si="7"/>
        <v>0</v>
      </c>
      <c r="O102" s="8">
        <f t="shared" si="7"/>
        <v>0</v>
      </c>
      <c r="P102" s="8">
        <f t="shared" si="7"/>
        <v>0</v>
      </c>
      <c r="Q102" s="8">
        <f t="shared" si="7"/>
        <v>0</v>
      </c>
    </row>
    <row r="103" spans="1:17" ht="21" customHeight="1" x14ac:dyDescent="0.25">
      <c r="A103" s="18"/>
      <c r="B103" s="18"/>
      <c r="C103" s="118" t="s">
        <v>94</v>
      </c>
      <c r="D103" s="118"/>
      <c r="E103" s="29"/>
      <c r="F103" s="29"/>
      <c r="G103" s="29"/>
      <c r="H103" s="29"/>
      <c r="I103" s="29"/>
      <c r="J103" s="29"/>
      <c r="K103" s="29"/>
      <c r="L103" s="8"/>
      <c r="M103" s="8"/>
      <c r="N103" s="8"/>
      <c r="O103" s="8"/>
      <c r="P103" s="8"/>
      <c r="Q103" s="8"/>
    </row>
    <row r="104" spans="1:17" ht="12.75" customHeight="1" x14ac:dyDescent="0.25">
      <c r="A104" s="18"/>
      <c r="B104" s="18"/>
      <c r="C104" s="19" t="s">
        <v>95</v>
      </c>
      <c r="D104" s="31">
        <f>'октябрь 2014г. по 6-10'!D103+'октябрь 2014г. по 0,4'!D100</f>
        <v>0</v>
      </c>
      <c r="E104" s="31">
        <f>'октябрь 2014г. по 6-10'!E103+'октябрь 2014г. по 0,4'!E100</f>
        <v>0</v>
      </c>
      <c r="F104" s="31">
        <f>'октябрь 2014г. по 6-10'!F103+'октябрь 2014г. по 0,4'!F100</f>
        <v>0</v>
      </c>
      <c r="G104" s="31">
        <f>'октябрь 2014г. по 6-10'!G103+'октябрь 2014г. по 0,4'!G100</f>
        <v>0</v>
      </c>
      <c r="H104" s="24">
        <v>1</v>
      </c>
      <c r="I104" s="24">
        <v>15</v>
      </c>
      <c r="J104" s="31">
        <f>'октябрь 2014г. по 6-10'!J103+'октябрь 2014г. по 0,4'!J100</f>
        <v>0</v>
      </c>
      <c r="K104" s="31">
        <f>'октябрь 2014г. по 6-10'!K103+'октябрь 2014г. по 0,4'!K100</f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</row>
    <row r="105" spans="1:17" ht="12.75" customHeight="1" x14ac:dyDescent="0.25">
      <c r="A105" s="18"/>
      <c r="B105" s="18"/>
      <c r="C105" s="19" t="s">
        <v>96</v>
      </c>
      <c r="D105" s="31">
        <f>'октябрь 2014г. по 6-10'!D104+'октябрь 2014г. по 0,4'!D101</f>
        <v>81</v>
      </c>
      <c r="E105" s="31">
        <f>'октябрь 2014г. по 6-10'!E104+'октябрь 2014г. по 0,4'!E101</f>
        <v>3553</v>
      </c>
      <c r="F105" s="31">
        <f>'октябрь 2014г. по 6-10'!F104+'октябрь 2014г. по 0,4'!F101</f>
        <v>42</v>
      </c>
      <c r="G105" s="31">
        <f>'октябрь 2014г. по 6-10'!G104+'октябрь 2014г. по 0,4'!G101</f>
        <v>1927</v>
      </c>
      <c r="H105" s="24">
        <v>0</v>
      </c>
      <c r="I105" s="24">
        <v>0</v>
      </c>
      <c r="J105" s="31">
        <f>'октябрь 2014г. по 6-10'!J104+'октябрь 2014г. по 0,4'!J101</f>
        <v>28</v>
      </c>
      <c r="K105" s="31">
        <f>'октябрь 2014г. по 6-10'!K104+'октябрь 2014г. по 0,4'!K101</f>
        <v>796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</row>
    <row r="106" spans="1:17" ht="12.75" customHeight="1" x14ac:dyDescent="0.25">
      <c r="A106" s="18"/>
      <c r="B106" s="18"/>
      <c r="C106" s="19" t="s">
        <v>97</v>
      </c>
      <c r="D106" s="31">
        <f>'октябрь 2014г. по 6-10'!D105+'октябрь 2014г. по 0,4'!D102</f>
        <v>47</v>
      </c>
      <c r="E106" s="31">
        <f>'октябрь 2014г. по 6-10'!E105+'октябрь 2014г. по 0,4'!E102</f>
        <v>2244</v>
      </c>
      <c r="F106" s="31">
        <f>'октябрь 2014г. по 6-10'!F105+'октябрь 2014г. по 0,4'!F102</f>
        <v>18</v>
      </c>
      <c r="G106" s="31">
        <f>'октябрь 2014г. по 6-10'!G105+'октябрь 2014г. по 0,4'!G102</f>
        <v>235</v>
      </c>
      <c r="H106" s="24">
        <v>0</v>
      </c>
      <c r="I106" s="24">
        <v>0</v>
      </c>
      <c r="J106" s="31">
        <f>'октябрь 2014г. по 6-10'!J105+'октябрь 2014г. по 0,4'!J102</f>
        <v>27</v>
      </c>
      <c r="K106" s="31">
        <f>'октябрь 2014г. по 6-10'!K105+'октябрь 2014г. по 0,4'!K102</f>
        <v>435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</row>
    <row r="107" spans="1:17" ht="12.75" customHeight="1" x14ac:dyDescent="0.25">
      <c r="A107" s="18"/>
      <c r="B107" s="18"/>
      <c r="C107" s="19" t="s">
        <v>98</v>
      </c>
      <c r="D107" s="31">
        <f>'октябрь 2014г. по 6-10'!D106+'октябрь 2014г. по 0,4'!D103</f>
        <v>21</v>
      </c>
      <c r="E107" s="31">
        <f>'октябрь 2014г. по 6-10'!E106+'октябрь 2014г. по 0,4'!E103</f>
        <v>640</v>
      </c>
      <c r="F107" s="31">
        <f>'октябрь 2014г. по 6-10'!F106+'октябрь 2014г. по 0,4'!F103</f>
        <v>11</v>
      </c>
      <c r="G107" s="31">
        <f>'октябрь 2014г. по 6-10'!G106+'октябрь 2014г. по 0,4'!G103</f>
        <v>111</v>
      </c>
      <c r="H107" s="24">
        <v>0</v>
      </c>
      <c r="I107" s="24">
        <v>0</v>
      </c>
      <c r="J107" s="31">
        <f>'октябрь 2014г. по 6-10'!J106+'октябрь 2014г. по 0,4'!J103</f>
        <v>31</v>
      </c>
      <c r="K107" s="31">
        <f>'октябрь 2014г. по 6-10'!K106+'октябрь 2014г. по 0,4'!K103</f>
        <v>400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</row>
    <row r="108" spans="1:17" ht="12.75" customHeight="1" x14ac:dyDescent="0.25">
      <c r="A108" s="18"/>
      <c r="B108" s="18"/>
      <c r="C108" s="19" t="s">
        <v>99</v>
      </c>
      <c r="D108" s="31">
        <f>'октябрь 2014г. по 6-10'!D107+'октябрь 2014г. по 0,4'!D104</f>
        <v>35</v>
      </c>
      <c r="E108" s="31">
        <f>'октябрь 2014г. по 6-10'!E107+'октябрь 2014г. по 0,4'!E104</f>
        <v>1164</v>
      </c>
      <c r="F108" s="31">
        <f>'октябрь 2014г. по 6-10'!F107+'октябрь 2014г. по 0,4'!F104</f>
        <v>31</v>
      </c>
      <c r="G108" s="31">
        <f>'октябрь 2014г. по 6-10'!G107+'октябрь 2014г. по 0,4'!G104</f>
        <v>612</v>
      </c>
      <c r="H108" s="24">
        <v>0</v>
      </c>
      <c r="I108" s="24">
        <v>0</v>
      </c>
      <c r="J108" s="31">
        <f>'октябрь 2014г. по 6-10'!J107+'октябрь 2014г. по 0,4'!J104</f>
        <v>22</v>
      </c>
      <c r="K108" s="31">
        <f>'октябрь 2014г. по 6-10'!K107+'октябрь 2014г. по 0,4'!K104</f>
        <v>154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</row>
    <row r="109" spans="1:17" ht="12.75" customHeight="1" x14ac:dyDescent="0.25">
      <c r="A109" s="18"/>
      <c r="B109" s="18"/>
      <c r="C109" s="19" t="s">
        <v>100</v>
      </c>
      <c r="D109" s="31">
        <f>'октябрь 2014г. по 6-10'!D108+'октябрь 2014г. по 0,4'!D105</f>
        <v>18</v>
      </c>
      <c r="E109" s="31">
        <f>'октябрь 2014г. по 6-10'!E108+'октябрь 2014г. по 0,4'!E105</f>
        <v>791</v>
      </c>
      <c r="F109" s="31">
        <f>'октябрь 2014г. по 6-10'!F108+'октябрь 2014г. по 0,4'!F105</f>
        <v>15</v>
      </c>
      <c r="G109" s="31">
        <f>'октябрь 2014г. по 6-10'!G108+'октябрь 2014г. по 0,4'!G105</f>
        <v>291</v>
      </c>
      <c r="H109" s="24">
        <v>0</v>
      </c>
      <c r="I109" s="24">
        <v>0</v>
      </c>
      <c r="J109" s="31">
        <f>'октябрь 2014г. по 6-10'!J108+'октябрь 2014г. по 0,4'!J105</f>
        <v>24</v>
      </c>
      <c r="K109" s="31">
        <f>'октябрь 2014г. по 6-10'!K108+'октябрь 2014г. по 0,4'!K105</f>
        <v>140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</row>
    <row r="110" spans="1:17" ht="12.75" customHeight="1" x14ac:dyDescent="0.25">
      <c r="A110" s="18"/>
      <c r="B110" s="18"/>
      <c r="C110" s="19" t="s">
        <v>101</v>
      </c>
      <c r="D110" s="31">
        <f>'октябрь 2014г. по 6-10'!D109+'октябрь 2014г. по 0,4'!D106</f>
        <v>13</v>
      </c>
      <c r="E110" s="31">
        <f>'октябрь 2014г. по 6-10'!E109+'октябрь 2014г. по 0,4'!E106</f>
        <v>868.5</v>
      </c>
      <c r="F110" s="31">
        <f>'октябрь 2014г. по 6-10'!F109+'октябрь 2014г. по 0,4'!F106</f>
        <v>9</v>
      </c>
      <c r="G110" s="31">
        <f>'октябрь 2014г. по 6-10'!G109+'октябрь 2014г. по 0,4'!G106</f>
        <v>143.5</v>
      </c>
      <c r="H110" s="24">
        <v>0</v>
      </c>
      <c r="I110" s="24">
        <v>0</v>
      </c>
      <c r="J110" s="31">
        <f>'октябрь 2014г. по 6-10'!J109+'октябрь 2014г. по 0,4'!J106</f>
        <v>35</v>
      </c>
      <c r="K110" s="31">
        <f>'октябрь 2014г. по 6-10'!K109+'октябрь 2014г. по 0,4'!K106</f>
        <v>180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</row>
    <row r="111" spans="1:17" ht="12.75" customHeight="1" x14ac:dyDescent="0.25">
      <c r="A111" s="18"/>
      <c r="B111" s="18"/>
      <c r="C111" s="19" t="s">
        <v>102</v>
      </c>
      <c r="D111" s="31">
        <f>'октябрь 2014г. по 6-10'!D110+'октябрь 2014г. по 0,4'!D107</f>
        <v>10</v>
      </c>
      <c r="E111" s="31">
        <f>'октябрь 2014г. по 6-10'!E110+'октябрь 2014г. по 0,4'!E107</f>
        <v>312</v>
      </c>
      <c r="F111" s="31">
        <f>'октябрь 2014г. по 6-10'!F110+'октябрь 2014г. по 0,4'!F107</f>
        <v>10</v>
      </c>
      <c r="G111" s="31">
        <f>'октябрь 2014г. по 6-10'!G110+'октябрь 2014г. по 0,4'!G107</f>
        <v>112</v>
      </c>
      <c r="H111" s="24">
        <v>0</v>
      </c>
      <c r="I111" s="24">
        <v>0</v>
      </c>
      <c r="J111" s="31">
        <f>'октябрь 2014г. по 6-10'!J110+'октябрь 2014г. по 0,4'!J107</f>
        <v>15</v>
      </c>
      <c r="K111" s="31">
        <f>'октябрь 2014г. по 6-10'!K110+'октябрь 2014г. по 0,4'!K107</f>
        <v>72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</row>
    <row r="112" spans="1:17" ht="12.75" customHeight="1" x14ac:dyDescent="0.25">
      <c r="A112" s="18"/>
      <c r="B112" s="18"/>
      <c r="C112" s="19" t="s">
        <v>103</v>
      </c>
      <c r="D112" s="31">
        <f>'октябрь 2014г. по 6-10'!D111+'октябрь 2014г. по 0,4'!D108</f>
        <v>41</v>
      </c>
      <c r="E112" s="31">
        <f>'октябрь 2014г. по 6-10'!E111+'октябрь 2014г. по 0,4'!E108</f>
        <v>810</v>
      </c>
      <c r="F112" s="31">
        <f>'октябрь 2014г. по 6-10'!F111+'октябрь 2014г. по 0,4'!F108</f>
        <v>30</v>
      </c>
      <c r="G112" s="31">
        <f>'октябрь 2014г. по 6-10'!G111+'октябрь 2014г. по 0,4'!G108</f>
        <v>314.5</v>
      </c>
      <c r="H112" s="24">
        <v>2</v>
      </c>
      <c r="I112" s="24">
        <v>45</v>
      </c>
      <c r="J112" s="31">
        <f>'октябрь 2014г. по 6-10'!J111+'октябрь 2014г. по 0,4'!J108</f>
        <v>3</v>
      </c>
      <c r="K112" s="31">
        <f>'октябрь 2014г. по 6-10'!K111+'октябрь 2014г. по 0,4'!K108</f>
        <v>55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</row>
    <row r="113" spans="1:17" ht="12.75" customHeight="1" x14ac:dyDescent="0.25">
      <c r="A113" s="18"/>
      <c r="B113" s="18"/>
      <c r="C113" s="19" t="s">
        <v>104</v>
      </c>
      <c r="D113" s="31">
        <f>'октябрь 2014г. по 6-10'!D112+'октябрь 2014г. по 0,4'!D109</f>
        <v>14</v>
      </c>
      <c r="E113" s="31">
        <f>'октябрь 2014г. по 6-10'!E112+'октябрь 2014г. по 0,4'!E109</f>
        <v>88</v>
      </c>
      <c r="F113" s="31">
        <f>'октябрь 2014г. по 6-10'!F112+'октябрь 2014г. по 0,4'!F109</f>
        <v>14</v>
      </c>
      <c r="G113" s="31">
        <f>'октябрь 2014г. по 6-10'!G112+'октябрь 2014г. по 0,4'!G109</f>
        <v>88</v>
      </c>
      <c r="H113" s="24">
        <v>0</v>
      </c>
      <c r="I113" s="24">
        <v>0</v>
      </c>
      <c r="J113" s="31">
        <f>'октябрь 2014г. по 6-10'!J112+'октябрь 2014г. по 0,4'!J109</f>
        <v>1</v>
      </c>
      <c r="K113" s="31">
        <f>'октябрь 2014г. по 6-10'!K112+'октябрь 2014г. по 0,4'!K109</f>
        <v>6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</row>
    <row r="114" spans="1:17" ht="12.75" customHeight="1" x14ac:dyDescent="0.25">
      <c r="A114" s="18"/>
      <c r="B114" s="18"/>
      <c r="C114" s="19" t="s">
        <v>105</v>
      </c>
      <c r="D114" s="31">
        <f>'октябрь 2014г. по 6-10'!D113+'октябрь 2014г. по 0,4'!D110</f>
        <v>8</v>
      </c>
      <c r="E114" s="31">
        <f>'октябрь 2014г. по 6-10'!E113+'октябрь 2014г. по 0,4'!E110</f>
        <v>44.4</v>
      </c>
      <c r="F114" s="31">
        <f>'октябрь 2014г. по 6-10'!F113+'октябрь 2014г. по 0,4'!F110</f>
        <v>8</v>
      </c>
      <c r="G114" s="31">
        <f>'октябрь 2014г. по 6-10'!G113+'октябрь 2014г. по 0,4'!G110</f>
        <v>44.4</v>
      </c>
      <c r="H114" s="24">
        <v>0</v>
      </c>
      <c r="I114" s="24">
        <v>0</v>
      </c>
      <c r="J114" s="31">
        <f>'октябрь 2014г. по 6-10'!J113+'октябрь 2014г. по 0,4'!J110</f>
        <v>0</v>
      </c>
      <c r="K114" s="31">
        <f>'октябрь 2014г. по 6-10'!K113+'октябрь 2014г. по 0,4'!K110</f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</row>
    <row r="115" spans="1:17" ht="12.75" customHeight="1" x14ac:dyDescent="0.2">
      <c r="A115" s="18"/>
      <c r="B115" s="18"/>
      <c r="C115" s="19" t="s">
        <v>30</v>
      </c>
      <c r="D115" s="29">
        <f>D104+D105+D106+D107+D108+D109+D110+D111+D112+D113+D114</f>
        <v>288</v>
      </c>
      <c r="E115" s="29">
        <f t="shared" ref="E115:Q115" si="8">E104+E105+E106+E107+E108+E109+E110+E111+E112+E113+E114</f>
        <v>10514.9</v>
      </c>
      <c r="F115" s="29">
        <f t="shared" si="8"/>
        <v>188</v>
      </c>
      <c r="G115" s="29">
        <f t="shared" si="8"/>
        <v>3878.4</v>
      </c>
      <c r="H115" s="29">
        <f t="shared" si="8"/>
        <v>3</v>
      </c>
      <c r="I115" s="29">
        <f t="shared" si="8"/>
        <v>60</v>
      </c>
      <c r="J115" s="29">
        <f t="shared" si="8"/>
        <v>186</v>
      </c>
      <c r="K115" s="29">
        <f t="shared" si="8"/>
        <v>2238</v>
      </c>
      <c r="L115" s="8">
        <f t="shared" si="8"/>
        <v>0</v>
      </c>
      <c r="M115" s="8">
        <f t="shared" si="8"/>
        <v>0</v>
      </c>
      <c r="N115" s="8">
        <f t="shared" si="8"/>
        <v>0</v>
      </c>
      <c r="O115" s="8">
        <f t="shared" si="8"/>
        <v>0</v>
      </c>
      <c r="P115" s="8">
        <f t="shared" si="8"/>
        <v>0</v>
      </c>
      <c r="Q115" s="8">
        <f t="shared" si="8"/>
        <v>0</v>
      </c>
    </row>
    <row r="116" spans="1:17" ht="19.5" customHeight="1" x14ac:dyDescent="0.25">
      <c r="A116" s="18"/>
      <c r="B116" s="18"/>
      <c r="C116" s="118" t="s">
        <v>106</v>
      </c>
      <c r="D116" s="118"/>
      <c r="E116" s="29"/>
      <c r="F116" s="29"/>
      <c r="G116" s="29"/>
      <c r="H116" s="29"/>
      <c r="I116" s="29"/>
      <c r="J116" s="29"/>
      <c r="K116" s="29"/>
      <c r="L116" s="8"/>
      <c r="M116" s="8"/>
      <c r="N116" s="8"/>
      <c r="O116" s="8"/>
      <c r="P116" s="8"/>
      <c r="Q116" s="8"/>
    </row>
    <row r="117" spans="1:17" ht="12.75" customHeight="1" x14ac:dyDescent="0.2">
      <c r="A117" s="18"/>
      <c r="B117" s="18"/>
      <c r="C117" s="21" t="s">
        <v>107</v>
      </c>
      <c r="D117" s="31">
        <f>'октябрь 2014г. по 6-10'!D116+'октябрь 2014г. по 0,4'!D113</f>
        <v>0</v>
      </c>
      <c r="E117" s="31">
        <f>'октябрь 2014г. по 6-10'!E116+'октябрь 2014г. по 0,4'!E113</f>
        <v>0</v>
      </c>
      <c r="F117" s="31">
        <f>'октябрь 2014г. по 6-10'!F116+'октябрь 2014г. по 0,4'!F113</f>
        <v>0</v>
      </c>
      <c r="G117" s="31">
        <f>'октябрь 2014г. по 6-10'!G116+'октябрь 2014г. по 0,4'!G113</f>
        <v>0</v>
      </c>
      <c r="H117" s="29">
        <v>0</v>
      </c>
      <c r="I117" s="29">
        <v>0</v>
      </c>
      <c r="J117" s="31">
        <f>'октябрь 2014г. по 6-10'!J116+'октябрь 2014г. по 0,4'!J113</f>
        <v>0</v>
      </c>
      <c r="K117" s="31">
        <f>'октябрь 2014г. по 6-10'!K116+'октябрь 2014г. по 0,4'!K113</f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</row>
    <row r="118" spans="1:17" ht="12.75" customHeight="1" x14ac:dyDescent="0.2">
      <c r="A118" s="18"/>
      <c r="B118" s="18"/>
      <c r="C118" s="21" t="s">
        <v>108</v>
      </c>
      <c r="D118" s="31">
        <f>'октябрь 2014г. по 6-10'!D117+'октябрь 2014г. по 0,4'!D114</f>
        <v>39</v>
      </c>
      <c r="E118" s="31">
        <f>'октябрь 2014г. по 6-10'!E117+'октябрь 2014г. по 0,4'!E114</f>
        <v>2215.9</v>
      </c>
      <c r="F118" s="31">
        <f>'октябрь 2014г. по 6-10'!F117+'октябрь 2014г. по 0,4'!F114</f>
        <v>30</v>
      </c>
      <c r="G118" s="31">
        <f>'октябрь 2014г. по 6-10'!G117+'октябрь 2014г. по 0,4'!G114</f>
        <v>1282.9000000000001</v>
      </c>
      <c r="H118" s="29">
        <v>0</v>
      </c>
      <c r="I118" s="29">
        <v>0</v>
      </c>
      <c r="J118" s="31">
        <f>'октябрь 2014г. по 6-10'!J117+'октябрь 2014г. по 0,4'!J114</f>
        <v>60</v>
      </c>
      <c r="K118" s="31">
        <f>'октябрь 2014г. по 6-10'!K117+'октябрь 2014г. по 0,4'!K114</f>
        <v>1030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</row>
    <row r="119" spans="1:17" ht="12.75" customHeight="1" x14ac:dyDescent="0.2">
      <c r="A119" s="18"/>
      <c r="B119" s="18"/>
      <c r="C119" s="21" t="s">
        <v>109</v>
      </c>
      <c r="D119" s="31">
        <f>'октябрь 2014г. по 6-10'!D118+'октябрь 2014г. по 0,4'!D115</f>
        <v>11</v>
      </c>
      <c r="E119" s="31">
        <f>'октябрь 2014г. по 6-10'!E118+'октябрь 2014г. по 0,4'!E115</f>
        <v>1331</v>
      </c>
      <c r="F119" s="31">
        <f>'октябрь 2014г. по 6-10'!F118+'октябрь 2014г. по 0,4'!F115</f>
        <v>7</v>
      </c>
      <c r="G119" s="31">
        <f>'октябрь 2014г. по 6-10'!G118+'октябрь 2014г. по 0,4'!G115</f>
        <v>156</v>
      </c>
      <c r="H119" s="29">
        <v>0</v>
      </c>
      <c r="I119" s="29">
        <v>0</v>
      </c>
      <c r="J119" s="31">
        <f>'октябрь 2014г. по 6-10'!J118+'октябрь 2014г. по 0,4'!J115</f>
        <v>1</v>
      </c>
      <c r="K119" s="31">
        <f>'октябрь 2014г. по 6-10'!K118+'октябрь 2014г. по 0,4'!K115</f>
        <v>40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</row>
    <row r="120" spans="1:17" ht="12.75" customHeight="1" x14ac:dyDescent="0.2">
      <c r="A120" s="18"/>
      <c r="B120" s="18"/>
      <c r="C120" s="21" t="s">
        <v>110</v>
      </c>
      <c r="D120" s="31">
        <f>'октябрь 2014г. по 6-10'!D119+'октябрь 2014г. по 0,4'!D116</f>
        <v>5</v>
      </c>
      <c r="E120" s="31">
        <f>'октябрь 2014г. по 6-10'!E119+'октябрь 2014г. по 0,4'!E116</f>
        <v>241</v>
      </c>
      <c r="F120" s="31">
        <f>'октябрь 2014г. по 6-10'!F119+'октябрь 2014г. по 0,4'!F116</f>
        <v>5</v>
      </c>
      <c r="G120" s="31">
        <f>'октябрь 2014г. по 6-10'!G119+'октябрь 2014г. по 0,4'!G116</f>
        <v>241</v>
      </c>
      <c r="H120" s="29">
        <v>0</v>
      </c>
      <c r="I120" s="29">
        <v>0</v>
      </c>
      <c r="J120" s="31">
        <f>'октябрь 2014г. по 6-10'!J119+'октябрь 2014г. по 0,4'!J116</f>
        <v>0</v>
      </c>
      <c r="K120" s="31">
        <f>'октябрь 2014г. по 6-10'!K119+'октябрь 2014г. по 0,4'!K116</f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</row>
    <row r="121" spans="1:17" ht="12.75" customHeight="1" x14ac:dyDescent="0.2">
      <c r="A121" s="18"/>
      <c r="B121" s="18"/>
      <c r="C121" s="21" t="s">
        <v>111</v>
      </c>
      <c r="D121" s="31">
        <f>'октябрь 2014г. по 6-10'!D120+'октябрь 2014г. по 0,4'!D117</f>
        <v>0</v>
      </c>
      <c r="E121" s="31">
        <f>'октябрь 2014г. по 6-10'!E120+'октябрь 2014г. по 0,4'!E117</f>
        <v>0</v>
      </c>
      <c r="F121" s="31">
        <f>'октябрь 2014г. по 6-10'!F120+'октябрь 2014г. по 0,4'!F117</f>
        <v>0</v>
      </c>
      <c r="G121" s="31">
        <f>'октябрь 2014г. по 6-10'!G120+'октябрь 2014г. по 0,4'!G117</f>
        <v>0</v>
      </c>
      <c r="H121" s="29">
        <v>0</v>
      </c>
      <c r="I121" s="29">
        <v>0</v>
      </c>
      <c r="J121" s="31">
        <f>'октябрь 2014г. по 6-10'!J120+'октябрь 2014г. по 0,4'!J117</f>
        <v>0</v>
      </c>
      <c r="K121" s="31">
        <f>'октябрь 2014г. по 6-10'!K120+'октябрь 2014г. по 0,4'!K117</f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</row>
    <row r="122" spans="1:17" ht="12.75" customHeight="1" x14ac:dyDescent="0.2">
      <c r="A122" s="18"/>
      <c r="B122" s="18"/>
      <c r="C122" s="21" t="s">
        <v>112</v>
      </c>
      <c r="D122" s="31">
        <f>'октябрь 2014г. по 6-10'!D121+'октябрь 2014г. по 0,4'!D118</f>
        <v>0</v>
      </c>
      <c r="E122" s="31">
        <f>'октябрь 2014г. по 6-10'!E121+'октябрь 2014г. по 0,4'!E118</f>
        <v>0</v>
      </c>
      <c r="F122" s="31">
        <f>'октябрь 2014г. по 6-10'!F121+'октябрь 2014г. по 0,4'!F118</f>
        <v>0</v>
      </c>
      <c r="G122" s="31">
        <f>'октябрь 2014г. по 6-10'!G121+'октябрь 2014г. по 0,4'!G118</f>
        <v>0</v>
      </c>
      <c r="H122" s="29">
        <v>0</v>
      </c>
      <c r="I122" s="29">
        <v>0</v>
      </c>
      <c r="J122" s="31">
        <f>'октябрь 2014г. по 6-10'!J121+'октябрь 2014г. по 0,4'!J118</f>
        <v>0</v>
      </c>
      <c r="K122" s="31">
        <f>'октябрь 2014г. по 6-10'!K121+'октябрь 2014г. по 0,4'!K118</f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</row>
    <row r="123" spans="1:17" ht="12.75" customHeight="1" x14ac:dyDescent="0.2">
      <c r="A123" s="18"/>
      <c r="B123" s="18"/>
      <c r="C123" s="21" t="s">
        <v>113</v>
      </c>
      <c r="D123" s="31">
        <f>'октябрь 2014г. по 6-10'!D122+'октябрь 2014г. по 0,4'!D119</f>
        <v>7</v>
      </c>
      <c r="E123" s="31">
        <f>'октябрь 2014г. по 6-10'!E122+'октябрь 2014г. по 0,4'!E119</f>
        <v>76.900000000000006</v>
      </c>
      <c r="F123" s="31">
        <f>'октябрь 2014г. по 6-10'!F122+'октябрь 2014г. по 0,4'!F119</f>
        <v>7</v>
      </c>
      <c r="G123" s="31">
        <f>'октябрь 2014г. по 6-10'!G122+'октябрь 2014г. по 0,4'!G119</f>
        <v>76.900000000000006</v>
      </c>
      <c r="H123" s="29">
        <v>0</v>
      </c>
      <c r="I123" s="29">
        <v>0</v>
      </c>
      <c r="J123" s="31">
        <f>'октябрь 2014г. по 6-10'!J122+'октябрь 2014г. по 0,4'!J119</f>
        <v>0</v>
      </c>
      <c r="K123" s="31">
        <f>'октябрь 2014г. по 6-10'!K122+'октябрь 2014г. по 0,4'!K119</f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</row>
    <row r="124" spans="1:17" ht="12.75" customHeight="1" x14ac:dyDescent="0.2">
      <c r="A124" s="18"/>
      <c r="B124" s="18"/>
      <c r="C124" s="21" t="s">
        <v>114</v>
      </c>
      <c r="D124" s="31">
        <f>'октябрь 2014г. по 6-10'!D123+'октябрь 2014г. по 0,4'!D120</f>
        <v>8</v>
      </c>
      <c r="E124" s="31">
        <f>'октябрь 2014г. по 6-10'!E123+'октябрь 2014г. по 0,4'!E120</f>
        <v>316.5</v>
      </c>
      <c r="F124" s="31">
        <f>'октябрь 2014г. по 6-10'!F123+'октябрь 2014г. по 0,4'!F120</f>
        <v>8</v>
      </c>
      <c r="G124" s="31">
        <f>'октябрь 2014г. по 6-10'!G123+'октябрь 2014г. по 0,4'!G120</f>
        <v>316.5</v>
      </c>
      <c r="H124" s="29">
        <v>0</v>
      </c>
      <c r="I124" s="29">
        <v>0</v>
      </c>
      <c r="J124" s="31">
        <f>'октябрь 2014г. по 6-10'!J123+'октябрь 2014г. по 0,4'!J120</f>
        <v>0</v>
      </c>
      <c r="K124" s="31">
        <f>'октябрь 2014г. по 6-10'!K123+'октябрь 2014г. по 0,4'!K120</f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</row>
    <row r="125" spans="1:17" ht="12.75" customHeight="1" x14ac:dyDescent="0.2">
      <c r="A125" s="18"/>
      <c r="B125" s="18"/>
      <c r="C125" s="21" t="s">
        <v>115</v>
      </c>
      <c r="D125" s="31">
        <f>'октябрь 2014г. по 6-10'!D124+'октябрь 2014г. по 0,4'!D121</f>
        <v>3</v>
      </c>
      <c r="E125" s="31">
        <f>'октябрь 2014г. по 6-10'!E124+'октябрь 2014г. по 0,4'!E121</f>
        <v>12.5</v>
      </c>
      <c r="F125" s="31">
        <f>'октябрь 2014г. по 6-10'!F124+'октябрь 2014г. по 0,4'!F121</f>
        <v>3</v>
      </c>
      <c r="G125" s="31">
        <f>'октябрь 2014г. по 6-10'!G124+'октябрь 2014г. по 0,4'!G121</f>
        <v>12.5</v>
      </c>
      <c r="H125" s="29">
        <v>0</v>
      </c>
      <c r="I125" s="29">
        <v>0</v>
      </c>
      <c r="J125" s="31">
        <f>'октябрь 2014г. по 6-10'!J124+'октябрь 2014г. по 0,4'!J121</f>
        <v>0</v>
      </c>
      <c r="K125" s="31">
        <f>'октябрь 2014г. по 6-10'!K124+'октябрь 2014г. по 0,4'!K121</f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</row>
    <row r="126" spans="1:17" ht="12.75" customHeight="1" x14ac:dyDescent="0.2">
      <c r="A126" s="18"/>
      <c r="B126" s="18"/>
      <c r="C126" s="21" t="s">
        <v>116</v>
      </c>
      <c r="D126" s="31">
        <f>'октябрь 2014г. по 6-10'!D125+'октябрь 2014г. по 0,4'!D122</f>
        <v>6</v>
      </c>
      <c r="E126" s="31">
        <f>'октябрь 2014г. по 6-10'!E125+'октябрь 2014г. по 0,4'!E122</f>
        <v>139.80000000000001</v>
      </c>
      <c r="F126" s="31">
        <f>'октябрь 2014г. по 6-10'!F125+'октябрь 2014г. по 0,4'!F122</f>
        <v>5</v>
      </c>
      <c r="G126" s="31">
        <f>'октябрь 2014г. по 6-10'!G125+'октябрь 2014г. по 0,4'!G122</f>
        <v>41.8</v>
      </c>
      <c r="H126" s="29">
        <v>0</v>
      </c>
      <c r="I126" s="29">
        <v>0</v>
      </c>
      <c r="J126" s="31">
        <f>'октябрь 2014г. по 6-10'!J125+'октябрь 2014г. по 0,4'!J122</f>
        <v>2</v>
      </c>
      <c r="K126" s="31">
        <f>'октябрь 2014г. по 6-10'!K125+'октябрь 2014г. по 0,4'!K122</f>
        <v>18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</row>
    <row r="127" spans="1:17" ht="12.75" customHeight="1" x14ac:dyDescent="0.2">
      <c r="A127" s="18"/>
      <c r="B127" s="18"/>
      <c r="C127" s="22" t="s">
        <v>117</v>
      </c>
      <c r="D127" s="31">
        <f>'октябрь 2014г. по 6-10'!D126+'октябрь 2014г. по 0,4'!D123</f>
        <v>5</v>
      </c>
      <c r="E127" s="31">
        <f>'октябрь 2014г. по 6-10'!E126+'октябрь 2014г. по 0,4'!E123</f>
        <v>130</v>
      </c>
      <c r="F127" s="31">
        <f>'октябрь 2014г. по 6-10'!F126+'октябрь 2014г. по 0,4'!F123</f>
        <v>5</v>
      </c>
      <c r="G127" s="31">
        <f>'октябрь 2014г. по 6-10'!G126+'октябрь 2014г. по 0,4'!G123</f>
        <v>130</v>
      </c>
      <c r="H127" s="29">
        <v>0</v>
      </c>
      <c r="I127" s="29">
        <v>0</v>
      </c>
      <c r="J127" s="31">
        <f>'октябрь 2014г. по 6-10'!J126+'октябрь 2014г. по 0,4'!J123</f>
        <v>0</v>
      </c>
      <c r="K127" s="31">
        <f>'октябрь 2014г. по 6-10'!K126+'октябрь 2014г. по 0,4'!K123</f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</row>
    <row r="128" spans="1:17" ht="12.75" customHeight="1" x14ac:dyDescent="0.2">
      <c r="A128" s="18"/>
      <c r="B128" s="18"/>
      <c r="C128" s="21" t="s">
        <v>118</v>
      </c>
      <c r="D128" s="31">
        <f>'октябрь 2014г. по 6-10'!D127+'октябрь 2014г. по 0,4'!D124</f>
        <v>1</v>
      </c>
      <c r="E128" s="31">
        <f>'октябрь 2014г. по 6-10'!E127+'октябрь 2014г. по 0,4'!E124</f>
        <v>160</v>
      </c>
      <c r="F128" s="31">
        <f>'октябрь 2014г. по 6-10'!F127+'октябрь 2014г. по 0,4'!F124</f>
        <v>1</v>
      </c>
      <c r="G128" s="31">
        <f>'октябрь 2014г. по 6-10'!G127+'октябрь 2014г. по 0,4'!G124</f>
        <v>160</v>
      </c>
      <c r="H128" s="29">
        <v>0</v>
      </c>
      <c r="I128" s="29">
        <v>0</v>
      </c>
      <c r="J128" s="31">
        <f>'октябрь 2014г. по 6-10'!J127+'октябрь 2014г. по 0,4'!J124</f>
        <v>0</v>
      </c>
      <c r="K128" s="31">
        <f>'октябрь 2014г. по 6-10'!K127+'октябрь 2014г. по 0,4'!K124</f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</row>
    <row r="129" spans="1:17" ht="12.75" customHeight="1" x14ac:dyDescent="0.2">
      <c r="A129" s="18"/>
      <c r="B129" s="18"/>
      <c r="C129" s="20" t="s">
        <v>30</v>
      </c>
      <c r="D129" s="29">
        <f>D117+D118+D119+D120+D121+D122+D123+D124+D125+D126+D127+D128</f>
        <v>85</v>
      </c>
      <c r="E129" s="29">
        <f t="shared" ref="E129:Q129" si="9">E117+E118+E119+E120+E121+E122+E123+E124+E125+E126+E127+E128</f>
        <v>4623.6000000000004</v>
      </c>
      <c r="F129" s="29">
        <f t="shared" si="9"/>
        <v>71</v>
      </c>
      <c r="G129" s="29">
        <f t="shared" si="9"/>
        <v>2417.6000000000004</v>
      </c>
      <c r="H129" s="29">
        <f t="shared" si="9"/>
        <v>0</v>
      </c>
      <c r="I129" s="29">
        <f t="shared" si="9"/>
        <v>0</v>
      </c>
      <c r="J129" s="29">
        <f t="shared" si="9"/>
        <v>63</v>
      </c>
      <c r="K129" s="29">
        <f t="shared" si="9"/>
        <v>1088</v>
      </c>
      <c r="L129" s="8">
        <f t="shared" si="9"/>
        <v>0</v>
      </c>
      <c r="M129" s="8">
        <f t="shared" si="9"/>
        <v>0</v>
      </c>
      <c r="N129" s="8">
        <f t="shared" si="9"/>
        <v>0</v>
      </c>
      <c r="O129" s="8">
        <f t="shared" si="9"/>
        <v>0</v>
      </c>
      <c r="P129" s="8">
        <f t="shared" si="9"/>
        <v>0</v>
      </c>
      <c r="Q129" s="8">
        <f t="shared" si="9"/>
        <v>0</v>
      </c>
    </row>
    <row r="130" spans="1:17" ht="25.5" customHeight="1" x14ac:dyDescent="0.2">
      <c r="A130" s="14"/>
      <c r="B130" s="15"/>
      <c r="C130" s="23" t="s">
        <v>119</v>
      </c>
      <c r="D130" s="36">
        <f>D30+D38+D52+D63+D70+D78+D91+D102+D115+D129</f>
        <v>1703</v>
      </c>
      <c r="E130" s="36">
        <f t="shared" ref="E130:Q130" si="10">E30+E38+E52+E63+E70+E78+E91+E102+E115+E129</f>
        <v>70199.5</v>
      </c>
      <c r="F130" s="36">
        <f t="shared" si="10"/>
        <v>1245</v>
      </c>
      <c r="G130" s="36">
        <f t="shared" si="10"/>
        <v>35752</v>
      </c>
      <c r="H130" s="36">
        <f t="shared" si="10"/>
        <v>14</v>
      </c>
      <c r="I130" s="36">
        <f t="shared" si="10"/>
        <v>1147.8</v>
      </c>
      <c r="J130" s="36">
        <f t="shared" si="10"/>
        <v>1744</v>
      </c>
      <c r="K130" s="36">
        <f t="shared" si="10"/>
        <v>20295</v>
      </c>
      <c r="L130" s="9">
        <f t="shared" si="10"/>
        <v>0</v>
      </c>
      <c r="M130" s="9">
        <f t="shared" si="10"/>
        <v>0</v>
      </c>
      <c r="N130" s="9">
        <f t="shared" si="10"/>
        <v>0</v>
      </c>
      <c r="O130" s="9">
        <f t="shared" si="10"/>
        <v>0</v>
      </c>
      <c r="P130" s="9">
        <f t="shared" si="10"/>
        <v>0</v>
      </c>
      <c r="Q130" s="9">
        <f t="shared" si="10"/>
        <v>0</v>
      </c>
    </row>
    <row r="131" spans="1:17" x14ac:dyDescent="0.2">
      <c r="A131" s="10" t="s">
        <v>10</v>
      </c>
      <c r="B131" s="119" t="s">
        <v>11</v>
      </c>
      <c r="C131" s="120"/>
      <c r="D131" s="37">
        <f t="shared" ref="D131" si="11">SUM(D130:D130)</f>
        <v>1703</v>
      </c>
      <c r="E131" s="38">
        <f t="shared" ref="E131" si="12">SUM(E130:E130)</f>
        <v>70199.5</v>
      </c>
      <c r="F131" s="37">
        <f t="shared" ref="F131:Q131" si="13">SUM(F130:F130)</f>
        <v>1245</v>
      </c>
      <c r="G131" s="38">
        <f t="shared" si="13"/>
        <v>35752</v>
      </c>
      <c r="H131" s="37">
        <f t="shared" si="13"/>
        <v>14</v>
      </c>
      <c r="I131" s="38">
        <f t="shared" si="13"/>
        <v>1147.8</v>
      </c>
      <c r="J131" s="37">
        <f t="shared" si="13"/>
        <v>1744</v>
      </c>
      <c r="K131" s="38">
        <f t="shared" si="13"/>
        <v>20295</v>
      </c>
      <c r="L131" s="11">
        <f t="shared" si="13"/>
        <v>0</v>
      </c>
      <c r="M131" s="12">
        <f t="shared" si="13"/>
        <v>0</v>
      </c>
      <c r="N131" s="11">
        <f t="shared" si="13"/>
        <v>0</v>
      </c>
      <c r="O131" s="12">
        <f t="shared" si="13"/>
        <v>0</v>
      </c>
      <c r="P131" s="11">
        <f t="shared" si="13"/>
        <v>0</v>
      </c>
      <c r="Q131" s="12">
        <f t="shared" si="13"/>
        <v>0</v>
      </c>
    </row>
    <row r="134" spans="1:17" x14ac:dyDescent="0.2">
      <c r="B134" t="s">
        <v>138</v>
      </c>
    </row>
    <row r="135" spans="1:17" x14ac:dyDescent="0.2">
      <c r="I135" s="30" t="s">
        <v>139</v>
      </c>
    </row>
    <row r="136" spans="1:17" ht="22.5" x14ac:dyDescent="0.2">
      <c r="F136" s="35"/>
      <c r="H136" s="39" t="s">
        <v>120</v>
      </c>
      <c r="I136" s="146" t="s">
        <v>121</v>
      </c>
      <c r="J136" s="146"/>
      <c r="K136" s="40">
        <v>15</v>
      </c>
    </row>
    <row r="137" spans="1:17" ht="22.5" x14ac:dyDescent="0.2">
      <c r="H137" s="39" t="s">
        <v>122</v>
      </c>
      <c r="I137" s="146" t="s">
        <v>121</v>
      </c>
      <c r="J137" s="146"/>
      <c r="K137" s="40">
        <v>15</v>
      </c>
    </row>
    <row r="138" spans="1:17" ht="22.5" x14ac:dyDescent="0.2">
      <c r="H138" s="39" t="s">
        <v>123</v>
      </c>
      <c r="I138" s="146" t="s">
        <v>124</v>
      </c>
      <c r="J138" s="146"/>
      <c r="K138" s="40">
        <v>5</v>
      </c>
    </row>
    <row r="139" spans="1:17" ht="22.5" x14ac:dyDescent="0.2">
      <c r="H139" s="41" t="s">
        <v>125</v>
      </c>
      <c r="I139" s="121" t="s">
        <v>126</v>
      </c>
      <c r="J139" s="122"/>
      <c r="K139" s="25">
        <v>50</v>
      </c>
    </row>
    <row r="140" spans="1:17" ht="22.5" customHeight="1" x14ac:dyDescent="0.2">
      <c r="H140" s="41" t="s">
        <v>127</v>
      </c>
      <c r="I140" s="121" t="s">
        <v>126</v>
      </c>
      <c r="J140" s="122"/>
      <c r="K140" s="42">
        <v>158</v>
      </c>
    </row>
    <row r="141" spans="1:17" ht="22.5" x14ac:dyDescent="0.2">
      <c r="H141" s="41" t="s">
        <v>128</v>
      </c>
      <c r="I141" s="121" t="s">
        <v>126</v>
      </c>
      <c r="J141" s="122"/>
      <c r="K141" s="27">
        <v>237</v>
      </c>
    </row>
    <row r="142" spans="1:17" ht="22.5" x14ac:dyDescent="0.2">
      <c r="H142" s="41" t="s">
        <v>129</v>
      </c>
      <c r="I142" s="121" t="s">
        <v>126</v>
      </c>
      <c r="J142" s="122"/>
      <c r="K142" s="27">
        <v>300</v>
      </c>
    </row>
    <row r="143" spans="1:17" ht="33.75" customHeight="1" x14ac:dyDescent="0.2">
      <c r="H143" s="41" t="s">
        <v>130</v>
      </c>
      <c r="I143" s="121" t="s">
        <v>131</v>
      </c>
      <c r="J143" s="122"/>
      <c r="K143" s="27">
        <v>300</v>
      </c>
    </row>
    <row r="144" spans="1:17" ht="22.5" x14ac:dyDescent="0.2">
      <c r="H144" s="43" t="s">
        <v>142</v>
      </c>
      <c r="I144" s="123" t="s">
        <v>141</v>
      </c>
      <c r="J144" s="124"/>
      <c r="K144" s="44">
        <v>6</v>
      </c>
    </row>
    <row r="145" spans="8:11" ht="22.5" x14ac:dyDescent="0.2">
      <c r="H145" s="26" t="s">
        <v>132</v>
      </c>
      <c r="I145" s="45" t="s">
        <v>133</v>
      </c>
      <c r="J145" s="45"/>
      <c r="K145" s="27">
        <v>5.6</v>
      </c>
    </row>
    <row r="146" spans="8:11" ht="22.5" x14ac:dyDescent="0.2">
      <c r="H146" s="26" t="s">
        <v>134</v>
      </c>
      <c r="I146" s="45" t="s">
        <v>133</v>
      </c>
      <c r="J146" s="45"/>
      <c r="K146" s="27">
        <v>5.6</v>
      </c>
    </row>
    <row r="147" spans="8:11" ht="22.5" x14ac:dyDescent="0.2">
      <c r="H147" s="26" t="s">
        <v>135</v>
      </c>
      <c r="I147" s="45" t="s">
        <v>133</v>
      </c>
      <c r="J147" s="45"/>
      <c r="K147" s="27">
        <v>5.6</v>
      </c>
    </row>
    <row r="148" spans="8:11" ht="22.5" x14ac:dyDescent="0.2">
      <c r="H148" s="26" t="s">
        <v>144</v>
      </c>
      <c r="I148" s="145" t="s">
        <v>143</v>
      </c>
      <c r="J148" s="145"/>
      <c r="K148" s="27">
        <v>15</v>
      </c>
    </row>
    <row r="149" spans="8:11" ht="22.5" x14ac:dyDescent="0.2">
      <c r="H149" s="26" t="s">
        <v>145</v>
      </c>
      <c r="I149" s="145" t="s">
        <v>143</v>
      </c>
      <c r="J149" s="145"/>
      <c r="K149" s="27">
        <v>30</v>
      </c>
    </row>
  </sheetData>
  <autoFilter ref="C21:C131"/>
  <customSheetViews>
    <customSheetView guid="{511E85F2-317A-4F57-8889-9FAECC5DF910}" scale="85" showAutoFilter="1" state="hidden" topLeftCell="B84">
      <selection activeCell="E109" sqref="E109"/>
      <pageMargins left="0.75" right="0.75" top="1" bottom="1" header="0.5" footer="0.5"/>
      <pageSetup paperSize="9" scale="90" orientation="landscape" r:id="rId1"/>
      <headerFooter alignWithMargins="0"/>
      <autoFilter ref="C21:C131"/>
    </customSheetView>
    <customSheetView guid="{A743F9C7-8B89-4E8F-B91F-1FFB859064F2}" scale="85" showAutoFilter="1" state="hidden" topLeftCell="B84">
      <selection activeCell="E109" sqref="E109"/>
      <pageMargins left="0.75" right="0.75" top="1" bottom="1" header="0.5" footer="0.5"/>
      <pageSetup paperSize="9" scale="90" orientation="landscape" r:id="rId2"/>
      <headerFooter alignWithMargins="0"/>
      <autoFilter ref="C21:C131"/>
    </customSheetView>
  </customSheetViews>
  <mergeCells count="47">
    <mergeCell ref="D19:E19"/>
    <mergeCell ref="D20:E20"/>
    <mergeCell ref="C22:D22"/>
    <mergeCell ref="I148:J148"/>
    <mergeCell ref="I149:J149"/>
    <mergeCell ref="C31:D31"/>
    <mergeCell ref="C39:D39"/>
    <mergeCell ref="C53:D53"/>
    <mergeCell ref="C64:D64"/>
    <mergeCell ref="C71:D71"/>
    <mergeCell ref="I136:J136"/>
    <mergeCell ref="I137:J137"/>
    <mergeCell ref="I138:J138"/>
    <mergeCell ref="C79:D79"/>
    <mergeCell ref="C92:D92"/>
    <mergeCell ref="C103:D103"/>
    <mergeCell ref="N19:O19"/>
    <mergeCell ref="P19:Q19"/>
    <mergeCell ref="F20:G20"/>
    <mergeCell ref="H20:I20"/>
    <mergeCell ref="J20:K20"/>
    <mergeCell ref="L20:M20"/>
    <mergeCell ref="N20:O20"/>
    <mergeCell ref="P20:Q20"/>
    <mergeCell ref="F19:G19"/>
    <mergeCell ref="H19:I19"/>
    <mergeCell ref="J19:K19"/>
    <mergeCell ref="L19:M19"/>
    <mergeCell ref="B14:M14"/>
    <mergeCell ref="B10:M10"/>
    <mergeCell ref="B11:M11"/>
    <mergeCell ref="B13:M13"/>
    <mergeCell ref="B15:M15"/>
    <mergeCell ref="I7:L7"/>
    <mergeCell ref="I1:L1"/>
    <mergeCell ref="I2:L2"/>
    <mergeCell ref="I3:L3"/>
    <mergeCell ref="I5:L5"/>
    <mergeCell ref="I6:L6"/>
    <mergeCell ref="C116:D116"/>
    <mergeCell ref="B131:C131"/>
    <mergeCell ref="I143:J143"/>
    <mergeCell ref="I144:J144"/>
    <mergeCell ref="I139:J139"/>
    <mergeCell ref="I140:J140"/>
    <mergeCell ref="I141:J141"/>
    <mergeCell ref="I142:J142"/>
  </mergeCells>
  <pageMargins left="0.75" right="0.75" top="1" bottom="1" header="0.5" footer="0.5"/>
  <pageSetup paperSize="9" scale="90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8"/>
  <sheetViews>
    <sheetView tabSelected="1" topLeftCell="B208" workbookViewId="0">
      <selection activeCell="D252" sqref="D252"/>
    </sheetView>
  </sheetViews>
  <sheetFormatPr defaultRowHeight="12.75" x14ac:dyDescent="0.2"/>
  <cols>
    <col min="1" max="1" width="22.140625" customWidth="1"/>
    <col min="2" max="2" width="35.28515625" customWidth="1"/>
    <col min="3" max="3" width="26.140625" customWidth="1"/>
    <col min="4" max="4" width="13.28515625" style="30" customWidth="1"/>
    <col min="5" max="5" width="11.5703125" style="30" customWidth="1"/>
    <col min="6" max="6" width="11.140625" style="30" customWidth="1"/>
    <col min="7" max="7" width="11.7109375" style="30" customWidth="1"/>
    <col min="8" max="8" width="12" style="30" customWidth="1"/>
    <col min="9" max="10" width="11.140625" style="30" customWidth="1"/>
    <col min="11" max="11" width="12.85546875" style="30" customWidth="1"/>
    <col min="12" max="12" width="10.85546875" customWidth="1"/>
    <col min="13" max="14" width="11.5703125" customWidth="1"/>
    <col min="15" max="15" width="12" customWidth="1"/>
    <col min="16" max="16" width="13" customWidth="1"/>
    <col min="17" max="17" width="12.7109375" customWidth="1"/>
  </cols>
  <sheetData>
    <row r="1" spans="2:15" ht="15.75" x14ac:dyDescent="0.25">
      <c r="I1" s="125"/>
      <c r="J1" s="125"/>
      <c r="K1" s="125"/>
      <c r="L1" s="125"/>
      <c r="M1" s="17"/>
      <c r="N1" s="17"/>
    </row>
    <row r="2" spans="2:15" ht="15.75" x14ac:dyDescent="0.25">
      <c r="B2" t="s">
        <v>0</v>
      </c>
      <c r="I2" s="125"/>
      <c r="J2" s="125"/>
      <c r="K2" s="125"/>
      <c r="L2" s="125"/>
      <c r="M2" s="17"/>
      <c r="N2" s="17"/>
      <c r="O2" s="17"/>
    </row>
    <row r="3" spans="2:15" ht="15.75" x14ac:dyDescent="0.25">
      <c r="I3" s="125"/>
      <c r="J3" s="125"/>
      <c r="K3" s="125"/>
      <c r="L3" s="125"/>
      <c r="M3" s="17"/>
      <c r="N3" s="17"/>
      <c r="O3" s="17"/>
    </row>
    <row r="4" spans="2:15" ht="15.75" x14ac:dyDescent="0.25">
      <c r="I4" s="32"/>
      <c r="J4" s="32"/>
      <c r="K4" s="32"/>
      <c r="L4" s="49"/>
      <c r="M4" s="17"/>
      <c r="N4" s="17"/>
      <c r="O4" s="17"/>
    </row>
    <row r="5" spans="2:15" ht="15.75" x14ac:dyDescent="0.25">
      <c r="I5" s="125"/>
      <c r="J5" s="125"/>
      <c r="K5" s="125"/>
      <c r="L5" s="125"/>
      <c r="M5" s="17"/>
      <c r="N5" s="17"/>
      <c r="O5" s="17"/>
    </row>
    <row r="6" spans="2:15" ht="15.75" x14ac:dyDescent="0.25">
      <c r="I6" s="125"/>
      <c r="J6" s="125"/>
      <c r="K6" s="125"/>
      <c r="L6" s="125"/>
      <c r="O6" s="17"/>
    </row>
    <row r="7" spans="2:15" ht="15.75" x14ac:dyDescent="0.25">
      <c r="I7" s="125"/>
      <c r="J7" s="125"/>
      <c r="K7" s="125"/>
      <c r="L7" s="125"/>
    </row>
    <row r="8" spans="2:15" ht="15.75" x14ac:dyDescent="0.25">
      <c r="I8" s="32"/>
      <c r="J8" s="32"/>
      <c r="K8" s="32"/>
    </row>
    <row r="9" spans="2:15" ht="12.75" customHeight="1" x14ac:dyDescent="0.2"/>
    <row r="10" spans="2:15" ht="12.75" customHeight="1" x14ac:dyDescent="0.25"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</row>
    <row r="11" spans="2:15" ht="15.75" x14ac:dyDescent="0.25"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</row>
    <row r="12" spans="2:15" ht="15.75" x14ac:dyDescent="0.25">
      <c r="B12" s="48"/>
      <c r="C12" s="48"/>
      <c r="D12" s="33"/>
      <c r="E12" s="33"/>
      <c r="F12" s="33"/>
      <c r="G12" s="33"/>
      <c r="H12" s="33"/>
      <c r="I12" s="33"/>
      <c r="J12" s="33"/>
      <c r="K12" s="34"/>
      <c r="L12" s="13"/>
      <c r="M12" s="13"/>
    </row>
    <row r="13" spans="2:15" ht="13.5" thickBot="1" x14ac:dyDescent="0.25"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</row>
    <row r="14" spans="2:15" ht="16.5" thickBot="1" x14ac:dyDescent="0.3">
      <c r="B14" s="126" t="s">
        <v>364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8"/>
    </row>
    <row r="15" spans="2:15" x14ac:dyDescent="0.2"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</row>
    <row r="16" spans="2:15" x14ac:dyDescent="0.2">
      <c r="B16" s="13"/>
      <c r="C16" s="13"/>
      <c r="D16" s="35"/>
      <c r="E16" s="35"/>
      <c r="F16" s="35"/>
      <c r="G16" s="35"/>
      <c r="H16" s="35"/>
      <c r="I16" s="35"/>
      <c r="J16" s="35"/>
      <c r="K16" s="35"/>
      <c r="L16" s="13"/>
      <c r="M16" s="13"/>
    </row>
    <row r="18" spans="1:17" ht="13.5" thickBot="1" x14ac:dyDescent="0.25"/>
    <row r="19" spans="1:17" ht="127.5" customHeight="1" thickTop="1" thickBot="1" x14ac:dyDescent="0.25">
      <c r="A19" s="2" t="s">
        <v>1</v>
      </c>
      <c r="B19" s="2" t="s">
        <v>2</v>
      </c>
      <c r="C19" s="3" t="s">
        <v>3</v>
      </c>
      <c r="D19" s="138" t="s">
        <v>17</v>
      </c>
      <c r="E19" s="138"/>
      <c r="F19" s="138" t="s">
        <v>4</v>
      </c>
      <c r="G19" s="138"/>
      <c r="H19" s="139" t="s">
        <v>5</v>
      </c>
      <c r="I19" s="140"/>
      <c r="J19" s="139" t="s">
        <v>6</v>
      </c>
      <c r="K19" s="140"/>
      <c r="L19" s="131" t="s">
        <v>18</v>
      </c>
      <c r="M19" s="132"/>
      <c r="N19" s="131" t="s">
        <v>19</v>
      </c>
      <c r="O19" s="132"/>
      <c r="P19" s="131" t="s">
        <v>20</v>
      </c>
      <c r="Q19" s="132"/>
    </row>
    <row r="20" spans="1:17" ht="13.5" thickTop="1" x14ac:dyDescent="0.2">
      <c r="A20" s="4">
        <v>1</v>
      </c>
      <c r="B20" s="5">
        <v>2</v>
      </c>
      <c r="C20" s="6">
        <v>3</v>
      </c>
      <c r="D20" s="141">
        <v>4</v>
      </c>
      <c r="E20" s="142"/>
      <c r="F20" s="133">
        <v>5</v>
      </c>
      <c r="G20" s="134"/>
      <c r="H20" s="135">
        <v>6</v>
      </c>
      <c r="I20" s="134"/>
      <c r="J20" s="135">
        <v>7</v>
      </c>
      <c r="K20" s="134"/>
      <c r="L20" s="136">
        <v>8</v>
      </c>
      <c r="M20" s="137"/>
      <c r="N20" s="136">
        <v>9</v>
      </c>
      <c r="O20" s="137"/>
      <c r="P20" s="136">
        <v>10</v>
      </c>
      <c r="Q20" s="137"/>
    </row>
    <row r="21" spans="1:17" ht="12.75" customHeight="1" x14ac:dyDescent="0.2">
      <c r="A21" s="7"/>
      <c r="B21" s="7"/>
      <c r="C21" s="7"/>
      <c r="D21" s="47" t="s">
        <v>7</v>
      </c>
      <c r="E21" s="47" t="s">
        <v>8</v>
      </c>
      <c r="F21" s="47" t="s">
        <v>7</v>
      </c>
      <c r="G21" s="47" t="s">
        <v>8</v>
      </c>
      <c r="H21" s="47" t="s">
        <v>7</v>
      </c>
      <c r="I21" s="47" t="s">
        <v>8</v>
      </c>
      <c r="J21" s="47" t="s">
        <v>7</v>
      </c>
      <c r="K21" s="47" t="s">
        <v>8</v>
      </c>
      <c r="L21" s="8" t="s">
        <v>7</v>
      </c>
      <c r="M21" s="8" t="s">
        <v>9</v>
      </c>
      <c r="N21" s="8" t="s">
        <v>7</v>
      </c>
      <c r="O21" s="8" t="s">
        <v>9</v>
      </c>
      <c r="P21" s="8" t="s">
        <v>7</v>
      </c>
      <c r="Q21" s="8" t="s">
        <v>9</v>
      </c>
    </row>
    <row r="22" spans="1:17" ht="28.5" customHeight="1" x14ac:dyDescent="0.25">
      <c r="A22" s="28" t="s">
        <v>136</v>
      </c>
      <c r="B22" s="28" t="s">
        <v>360</v>
      </c>
      <c r="C22" s="147" t="s">
        <v>146</v>
      </c>
      <c r="D22" s="148"/>
      <c r="E22" s="47"/>
      <c r="F22" s="47"/>
      <c r="G22" s="47"/>
      <c r="H22" s="47"/>
      <c r="I22" s="47"/>
      <c r="J22" s="47"/>
      <c r="K22" s="47"/>
      <c r="L22" s="8"/>
      <c r="M22" s="8"/>
      <c r="N22" s="8"/>
      <c r="O22" s="8"/>
      <c r="P22" s="8"/>
      <c r="Q22" s="8"/>
    </row>
    <row r="23" spans="1:17" ht="12" customHeight="1" x14ac:dyDescent="0.2">
      <c r="A23" s="18"/>
      <c r="B23" s="18"/>
      <c r="C23" s="18" t="s">
        <v>306</v>
      </c>
      <c r="D23" s="31">
        <f>'октябрь 2014г. по 6-10'!D23+'октябрь 2014г. по 0,4'!D20</f>
        <v>0</v>
      </c>
      <c r="E23" s="31">
        <f>'октябрь 2014г. по 6-10'!E23+'октябрь 2014г. по 0,4'!E20</f>
        <v>0</v>
      </c>
      <c r="F23" s="31">
        <f>'октябрь 2014г. по 6-10'!F23+'октябрь 2014г. по 0,4'!F20</f>
        <v>0</v>
      </c>
      <c r="G23" s="31">
        <f>'октябрь 2014г. по 6-10'!G23+'октябрь 2014г. по 0,4'!G20</f>
        <v>0</v>
      </c>
      <c r="H23" s="31">
        <f>'октябрь 2014г. по 6-10'!H23+'октябрь 2014г. по 0,4'!H20</f>
        <v>0</v>
      </c>
      <c r="I23" s="31">
        <f>'октябрь 2014г. по 6-10'!I23+'октябрь 2014г. по 0,4'!I20</f>
        <v>0</v>
      </c>
      <c r="J23" s="31">
        <f>'октябрь 2014г. по 6-10'!J23+'октябрь 2014г. по 0,4'!J20</f>
        <v>0</v>
      </c>
      <c r="K23" s="31">
        <f>'октябрь 2014г. по 6-10'!K23+'октябрь 2014г. по 0,4'!K20</f>
        <v>0</v>
      </c>
      <c r="L23" s="31">
        <f>'октябрь 2014г. по 6-10'!L23+'октябрь 2014г. по 0,4'!L20</f>
        <v>0</v>
      </c>
      <c r="M23" s="31">
        <f>'октябрь 2014г. по 6-10'!M23+'октябрь 2014г. по 0,4'!M20</f>
        <v>0</v>
      </c>
      <c r="N23" s="31">
        <f>'октябрь 2014г. по 6-10'!N23+'октябрь 2014г. по 0,4'!N20</f>
        <v>0</v>
      </c>
      <c r="O23" s="31">
        <f>'октябрь 2014г. по 6-10'!O23+'октябрь 2014г. по 0,4'!O20</f>
        <v>0</v>
      </c>
      <c r="P23" s="31">
        <f>'октябрь 2014г. по 6-10'!P23+'октябрь 2014г. по 0,4'!P20</f>
        <v>0</v>
      </c>
      <c r="Q23" s="31">
        <f>'октябрь 2014г. по 6-10'!Q23+'октябрь 2014г. по 0,4'!Q20</f>
        <v>0</v>
      </c>
    </row>
    <row r="24" spans="1:17" ht="12" customHeight="1" x14ac:dyDescent="0.2">
      <c r="A24" s="18"/>
      <c r="B24" s="18"/>
      <c r="C24" s="18" t="s">
        <v>307</v>
      </c>
      <c r="D24" s="31">
        <f>'октябрь 2014г. по 6-10'!D24+'октябрь 2014г. по 0,4'!D21</f>
        <v>1</v>
      </c>
      <c r="E24" s="31">
        <f>'октябрь 2014г. по 6-10'!E24+'октябрь 2014г. по 0,4'!E21</f>
        <v>100</v>
      </c>
      <c r="F24" s="31">
        <f>'октябрь 2014г. по 6-10'!F24+'октябрь 2014г. по 0,4'!F21</f>
        <v>1</v>
      </c>
      <c r="G24" s="31">
        <f>'октябрь 2014г. по 6-10'!G24+'октябрь 2014г. по 0,4'!G21</f>
        <v>100</v>
      </c>
      <c r="H24" s="31">
        <f>'октябрь 2014г. по 6-10'!H24+'октябрь 2014г. по 0,4'!H21</f>
        <v>0</v>
      </c>
      <c r="I24" s="31">
        <f>'октябрь 2014г. по 6-10'!I24+'октябрь 2014г. по 0,4'!I21</f>
        <v>0</v>
      </c>
      <c r="J24" s="31">
        <f>'октябрь 2014г. по 6-10'!J24+'октябрь 2014г. по 0,4'!J21</f>
        <v>31</v>
      </c>
      <c r="K24" s="31">
        <f>'октябрь 2014г. по 6-10'!K24+'октябрь 2014г. по 0,4'!K21</f>
        <v>260</v>
      </c>
      <c r="L24" s="31">
        <f>'октябрь 2014г. по 6-10'!L24+'октябрь 2014г. по 0,4'!L21</f>
        <v>0</v>
      </c>
      <c r="M24" s="31">
        <f>'октябрь 2014г. по 6-10'!M24+'октябрь 2014г. по 0,4'!M21</f>
        <v>0</v>
      </c>
      <c r="N24" s="31">
        <f>'октябрь 2014г. по 6-10'!N24+'октябрь 2014г. по 0,4'!N21</f>
        <v>0</v>
      </c>
      <c r="O24" s="31">
        <f>'октябрь 2014г. по 6-10'!O24+'октябрь 2014г. по 0,4'!O21</f>
        <v>0</v>
      </c>
      <c r="P24" s="31">
        <f>'октябрь 2014г. по 6-10'!P24+'октябрь 2014г. по 0,4'!P21</f>
        <v>0</v>
      </c>
      <c r="Q24" s="31">
        <f>'октябрь 2014г. по 6-10'!Q24+'октябрь 2014г. по 0,4'!Q21</f>
        <v>0</v>
      </c>
    </row>
    <row r="25" spans="1:17" ht="11.25" customHeight="1" x14ac:dyDescent="0.2">
      <c r="A25" s="18"/>
      <c r="B25" s="18"/>
      <c r="C25" s="18" t="s">
        <v>308</v>
      </c>
      <c r="D25" s="31">
        <f>'октябрь 2014г. по 6-10'!D25+'октябрь 2014г. по 0,4'!D22</f>
        <v>1</v>
      </c>
      <c r="E25" s="31">
        <f>'октябрь 2014г. по 6-10'!E25+'октябрь 2014г. по 0,4'!E22</f>
        <v>250</v>
      </c>
      <c r="F25" s="31">
        <f>'октябрь 2014г. по 6-10'!F25+'октябрь 2014г. по 0,4'!F22</f>
        <v>0</v>
      </c>
      <c r="G25" s="31">
        <f>'октябрь 2014г. по 6-10'!G25+'октябрь 2014г. по 0,4'!G22</f>
        <v>0</v>
      </c>
      <c r="H25" s="31">
        <f>'октябрь 2014г. по 6-10'!H25+'октябрь 2014г. по 0,4'!H22</f>
        <v>0</v>
      </c>
      <c r="I25" s="31">
        <f>'октябрь 2014г. по 6-10'!I25+'октябрь 2014г. по 0,4'!I22</f>
        <v>0</v>
      </c>
      <c r="J25" s="31">
        <f>'октябрь 2014г. по 6-10'!J25+'октябрь 2014г. по 0,4'!J22</f>
        <v>0</v>
      </c>
      <c r="K25" s="31">
        <f>'октябрь 2014г. по 6-10'!K25+'октябрь 2014г. по 0,4'!K22</f>
        <v>0</v>
      </c>
      <c r="L25" s="31">
        <f>'октябрь 2014г. по 6-10'!L25+'октябрь 2014г. по 0,4'!L22</f>
        <v>0</v>
      </c>
      <c r="M25" s="31">
        <f>'октябрь 2014г. по 6-10'!M25+'октябрь 2014г. по 0,4'!M22</f>
        <v>0</v>
      </c>
      <c r="N25" s="31">
        <f>'октябрь 2014г. по 6-10'!N25+'октябрь 2014г. по 0,4'!N22</f>
        <v>0</v>
      </c>
      <c r="O25" s="31">
        <f>'октябрь 2014г. по 6-10'!O25+'октябрь 2014г. по 0,4'!O22</f>
        <v>0</v>
      </c>
      <c r="P25" s="31">
        <f>'октябрь 2014г. по 6-10'!P25+'октябрь 2014г. по 0,4'!P22</f>
        <v>0</v>
      </c>
      <c r="Q25" s="31">
        <f>'октябрь 2014г. по 6-10'!Q25+'октябрь 2014г. по 0,4'!Q22</f>
        <v>0</v>
      </c>
    </row>
    <row r="26" spans="1:17" ht="11.25" customHeight="1" x14ac:dyDescent="0.2">
      <c r="A26" s="18"/>
      <c r="B26" s="18"/>
      <c r="C26" s="18" t="s">
        <v>309</v>
      </c>
      <c r="D26" s="31">
        <f>'октябрь 2014г. по 6-10'!D26+'октябрь 2014г. по 0,4'!D23</f>
        <v>14</v>
      </c>
      <c r="E26" s="31">
        <f>'октябрь 2014г. по 6-10'!E26+'октябрь 2014г. по 0,4'!E23</f>
        <v>1700</v>
      </c>
      <c r="F26" s="31">
        <f>'октябрь 2014г. по 6-10'!F26+'октябрь 2014г. по 0,4'!F23</f>
        <v>6</v>
      </c>
      <c r="G26" s="31">
        <f>'октябрь 2014г. по 6-10'!G26+'октябрь 2014г. по 0,4'!G23</f>
        <v>830</v>
      </c>
      <c r="H26" s="31">
        <f>'октябрь 2014г. по 6-10'!H26+'октябрь 2014г. по 0,4'!H23</f>
        <v>0</v>
      </c>
      <c r="I26" s="31">
        <f>'октябрь 2014г. по 6-10'!I26+'октябрь 2014г. по 0,4'!I23</f>
        <v>0</v>
      </c>
      <c r="J26" s="31">
        <f>'октябрь 2014г. по 6-10'!J26+'октябрь 2014г. по 0,4'!J23</f>
        <v>3</v>
      </c>
      <c r="K26" s="31">
        <f>'октябрь 2014г. по 6-10'!K26+'октябрь 2014г. по 0,4'!K23</f>
        <v>210</v>
      </c>
      <c r="L26" s="31">
        <f>'октябрь 2014г. по 6-10'!L26+'октябрь 2014г. по 0,4'!L23</f>
        <v>0</v>
      </c>
      <c r="M26" s="31">
        <f>'октябрь 2014г. по 6-10'!M26+'октябрь 2014г. по 0,4'!M23</f>
        <v>0</v>
      </c>
      <c r="N26" s="31">
        <f>'октябрь 2014г. по 6-10'!N26+'октябрь 2014г. по 0,4'!N23</f>
        <v>0</v>
      </c>
      <c r="O26" s="31">
        <f>'октябрь 2014г. по 6-10'!O26+'октябрь 2014г. по 0,4'!O23</f>
        <v>0</v>
      </c>
      <c r="P26" s="31">
        <f>'октябрь 2014г. по 6-10'!P26+'октябрь 2014г. по 0,4'!P23</f>
        <v>0</v>
      </c>
      <c r="Q26" s="31">
        <f>'октябрь 2014г. по 6-10'!Q26+'октябрь 2014г. по 0,4'!Q23</f>
        <v>0</v>
      </c>
    </row>
    <row r="27" spans="1:17" ht="12.75" customHeight="1" x14ac:dyDescent="0.2">
      <c r="A27" s="18"/>
      <c r="B27" s="18"/>
      <c r="C27" s="18" t="s">
        <v>310</v>
      </c>
      <c r="D27" s="31">
        <f>'октябрь 2014г. по 6-10'!D27+'октябрь 2014г. по 0,4'!D24</f>
        <v>1</v>
      </c>
      <c r="E27" s="31">
        <f>'октябрь 2014г. по 6-10'!E27+'октябрь 2014г. по 0,4'!E24</f>
        <v>80</v>
      </c>
      <c r="F27" s="31">
        <f>'октябрь 2014г. по 6-10'!F27+'октябрь 2014г. по 0,4'!F24</f>
        <v>0</v>
      </c>
      <c r="G27" s="31">
        <f>'октябрь 2014г. по 6-10'!G27+'октябрь 2014г. по 0,4'!G24</f>
        <v>0</v>
      </c>
      <c r="H27" s="31">
        <f>'октябрь 2014г. по 6-10'!H27+'октябрь 2014г. по 0,4'!H24</f>
        <v>0</v>
      </c>
      <c r="I27" s="31">
        <f>'октябрь 2014г. по 6-10'!I27+'октябрь 2014г. по 0,4'!I24</f>
        <v>0</v>
      </c>
      <c r="J27" s="31">
        <f>'октябрь 2014г. по 6-10'!J27+'октябрь 2014г. по 0,4'!J24</f>
        <v>0</v>
      </c>
      <c r="K27" s="31">
        <f>'октябрь 2014г. по 6-10'!K27+'октябрь 2014г. по 0,4'!K24</f>
        <v>0</v>
      </c>
      <c r="L27" s="31">
        <f>'октябрь 2014г. по 6-10'!L27+'октябрь 2014г. по 0,4'!L24</f>
        <v>0</v>
      </c>
      <c r="M27" s="31">
        <f>'октябрь 2014г. по 6-10'!M27+'октябрь 2014г. по 0,4'!M24</f>
        <v>0</v>
      </c>
      <c r="N27" s="31">
        <f>'октябрь 2014г. по 6-10'!N27+'октябрь 2014г. по 0,4'!N24</f>
        <v>0</v>
      </c>
      <c r="O27" s="31">
        <f>'октябрь 2014г. по 6-10'!O27+'октябрь 2014г. по 0,4'!O24</f>
        <v>0</v>
      </c>
      <c r="P27" s="31">
        <f>'октябрь 2014г. по 6-10'!P27+'октябрь 2014г. по 0,4'!P24</f>
        <v>0</v>
      </c>
      <c r="Q27" s="31">
        <f>'октябрь 2014г. по 6-10'!Q27+'октябрь 2014г. по 0,4'!Q24</f>
        <v>0</v>
      </c>
    </row>
    <row r="28" spans="1:17" ht="11.25" customHeight="1" x14ac:dyDescent="0.2">
      <c r="A28" s="18"/>
      <c r="B28" s="18"/>
      <c r="C28" s="18" t="s">
        <v>311</v>
      </c>
      <c r="D28" s="31">
        <f>'октябрь 2014г. по 6-10'!D28+'октябрь 2014г. по 0,4'!D25</f>
        <v>2</v>
      </c>
      <c r="E28" s="31">
        <f>'октябрь 2014г. по 6-10'!E28+'октябрь 2014г. по 0,4'!E25</f>
        <v>970</v>
      </c>
      <c r="F28" s="31">
        <f>'октябрь 2014г. по 6-10'!F28+'октябрь 2014г. по 0,4'!F25</f>
        <v>1</v>
      </c>
      <c r="G28" s="31">
        <f>'октябрь 2014г. по 6-10'!G28+'октябрь 2014г. по 0,4'!G25</f>
        <v>470</v>
      </c>
      <c r="H28" s="31">
        <f>'октябрь 2014г. по 6-10'!H28+'октябрь 2014г. по 0,4'!H25</f>
        <v>0</v>
      </c>
      <c r="I28" s="31">
        <f>'октябрь 2014г. по 6-10'!I28+'октябрь 2014г. по 0,4'!I25</f>
        <v>0</v>
      </c>
      <c r="J28" s="31">
        <f>'октябрь 2014г. по 6-10'!J28+'октябрь 2014г. по 0,4'!J25</f>
        <v>50</v>
      </c>
      <c r="K28" s="31">
        <f>'октябрь 2014г. по 6-10'!K28+'октябрь 2014г. по 0,4'!K25</f>
        <v>390</v>
      </c>
      <c r="L28" s="31">
        <f>'октябрь 2014г. по 6-10'!L28+'октябрь 2014г. по 0,4'!L25</f>
        <v>0</v>
      </c>
      <c r="M28" s="31">
        <f>'октябрь 2014г. по 6-10'!M28+'октябрь 2014г. по 0,4'!M25</f>
        <v>0</v>
      </c>
      <c r="N28" s="31">
        <f>'октябрь 2014г. по 6-10'!N28+'октябрь 2014г. по 0,4'!N25</f>
        <v>0</v>
      </c>
      <c r="O28" s="31">
        <f>'октябрь 2014г. по 6-10'!O28+'октябрь 2014г. по 0,4'!O25</f>
        <v>0</v>
      </c>
      <c r="P28" s="31">
        <f>'октябрь 2014г. по 6-10'!P28+'октябрь 2014г. по 0,4'!P25</f>
        <v>0</v>
      </c>
      <c r="Q28" s="31">
        <f>'октябрь 2014г. по 6-10'!Q28+'октябрь 2014г. по 0,4'!Q25</f>
        <v>0</v>
      </c>
    </row>
    <row r="29" spans="1:17" ht="16.5" customHeight="1" x14ac:dyDescent="0.2">
      <c r="A29" s="18"/>
      <c r="B29" s="18"/>
      <c r="C29" s="18" t="s">
        <v>312</v>
      </c>
      <c r="D29" s="31">
        <f>'октябрь 2014г. по 6-10'!D29+'октябрь 2014г. по 0,4'!D26</f>
        <v>1</v>
      </c>
      <c r="E29" s="31">
        <f>'октябрь 2014г. по 6-10'!E29+'октябрь 2014г. по 0,4'!E26</f>
        <v>30</v>
      </c>
      <c r="F29" s="31">
        <f>'октябрь 2014г. по 6-10'!F29+'октябрь 2014г. по 0,4'!F26</f>
        <v>1</v>
      </c>
      <c r="G29" s="31">
        <f>'октябрь 2014г. по 6-10'!G29+'октябрь 2014г. по 0,4'!G26</f>
        <v>30</v>
      </c>
      <c r="H29" s="31">
        <f>'октябрь 2014г. по 6-10'!H29+'октябрь 2014г. по 0,4'!H26</f>
        <v>0</v>
      </c>
      <c r="I29" s="31">
        <f>'октябрь 2014г. по 6-10'!I29+'октябрь 2014г. по 0,4'!I26</f>
        <v>0</v>
      </c>
      <c r="J29" s="31">
        <f>'октябрь 2014г. по 6-10'!J29+'октябрь 2014г. по 0,4'!J26</f>
        <v>0</v>
      </c>
      <c r="K29" s="31">
        <f>'октябрь 2014г. по 6-10'!K29+'октябрь 2014г. по 0,4'!K26</f>
        <v>0</v>
      </c>
      <c r="L29" s="31">
        <f>'октябрь 2014г. по 6-10'!L29+'октябрь 2014г. по 0,4'!L26</f>
        <v>0</v>
      </c>
      <c r="M29" s="31">
        <f>'октябрь 2014г. по 6-10'!M29+'октябрь 2014г. по 0,4'!M26</f>
        <v>0</v>
      </c>
      <c r="N29" s="31">
        <f>'октябрь 2014г. по 6-10'!N29+'октябрь 2014г. по 0,4'!N26</f>
        <v>0</v>
      </c>
      <c r="O29" s="31">
        <f>'октябрь 2014г. по 6-10'!O29+'октябрь 2014г. по 0,4'!O26</f>
        <v>0</v>
      </c>
      <c r="P29" s="31">
        <f>'октябрь 2014г. по 6-10'!P29+'октябрь 2014г. по 0,4'!P26</f>
        <v>0</v>
      </c>
      <c r="Q29" s="31">
        <f>'октябрь 2014г. по 6-10'!Q29+'октябрь 2014г. по 0,4'!Q26</f>
        <v>0</v>
      </c>
    </row>
    <row r="30" spans="1:17" ht="12" customHeight="1" x14ac:dyDescent="0.2">
      <c r="A30" s="18"/>
      <c r="B30" s="18"/>
      <c r="C30" s="18" t="s">
        <v>313</v>
      </c>
      <c r="D30" s="31">
        <f>'октябрь 2014г. по 6-10'!D30+'октябрь 2014г. по 0,4'!D27</f>
        <v>14</v>
      </c>
      <c r="E30" s="31">
        <f>'октябрь 2014г. по 6-10'!E30+'октябрь 2014г. по 0,4'!E27</f>
        <v>2382</v>
      </c>
      <c r="F30" s="31">
        <f>'октябрь 2014г. по 6-10'!F30+'октябрь 2014г. по 0,4'!F27</f>
        <v>12</v>
      </c>
      <c r="G30" s="31">
        <f>'октябрь 2014г. по 6-10'!G30+'октябрь 2014г. по 0,4'!G27</f>
        <v>361.4</v>
      </c>
      <c r="H30" s="31">
        <f>'октябрь 2014г. по 6-10'!H30+'октябрь 2014г. по 0,4'!H27</f>
        <v>0</v>
      </c>
      <c r="I30" s="31">
        <f>'октябрь 2014г. по 6-10'!I30+'октябрь 2014г. по 0,4'!I27</f>
        <v>0</v>
      </c>
      <c r="J30" s="31">
        <f>'октябрь 2014г. по 6-10'!J30+'октябрь 2014г. по 0,4'!J27</f>
        <v>41</v>
      </c>
      <c r="K30" s="31">
        <f>'октябрь 2014г. по 6-10'!K30+'октябрь 2014г. по 0,4'!K27</f>
        <v>302</v>
      </c>
      <c r="L30" s="31">
        <f>'октябрь 2014г. по 6-10'!L30+'октябрь 2014г. по 0,4'!L27</f>
        <v>0</v>
      </c>
      <c r="M30" s="31">
        <f>'октябрь 2014г. по 6-10'!M30+'октябрь 2014г. по 0,4'!M27</f>
        <v>0</v>
      </c>
      <c r="N30" s="31">
        <f>'октябрь 2014г. по 6-10'!N30+'октябрь 2014г. по 0,4'!N27</f>
        <v>0</v>
      </c>
      <c r="O30" s="31">
        <f>'октябрь 2014г. по 6-10'!O30+'октябрь 2014г. по 0,4'!O27</f>
        <v>0</v>
      </c>
      <c r="P30" s="31">
        <f>'октябрь 2014г. по 6-10'!P30+'октябрь 2014г. по 0,4'!P27</f>
        <v>0</v>
      </c>
      <c r="Q30" s="31">
        <f>'октябрь 2014г. по 6-10'!Q30+'октябрь 2014г. по 0,4'!Q27</f>
        <v>0</v>
      </c>
    </row>
    <row r="31" spans="1:17" ht="12.75" customHeight="1" x14ac:dyDescent="0.2">
      <c r="A31" s="18"/>
      <c r="B31" s="18"/>
      <c r="C31" s="18" t="s">
        <v>314</v>
      </c>
      <c r="D31" s="31">
        <f>'октябрь 2014г. по 6-10'!D31+'октябрь 2014г. по 0,4'!D28</f>
        <v>3</v>
      </c>
      <c r="E31" s="31">
        <f>'октябрь 2014г. по 6-10'!E31+'октябрь 2014г. по 0,4'!E28</f>
        <v>864</v>
      </c>
      <c r="F31" s="31">
        <f>'октябрь 2014г. по 6-10'!F31+'октябрь 2014г. по 0,4'!F28</f>
        <v>3</v>
      </c>
      <c r="G31" s="31">
        <f>'октябрь 2014г. по 6-10'!G31+'октябрь 2014г. по 0,4'!G28</f>
        <v>564</v>
      </c>
      <c r="H31" s="31">
        <f>'октябрь 2014г. по 6-10'!H31+'октябрь 2014г. по 0,4'!H28</f>
        <v>0</v>
      </c>
      <c r="I31" s="31">
        <f>'октябрь 2014г. по 6-10'!I31+'октябрь 2014г. по 0,4'!I28</f>
        <v>0</v>
      </c>
      <c r="J31" s="31">
        <f>'октябрь 2014г. по 6-10'!J31+'октябрь 2014г. по 0,4'!J28</f>
        <v>37</v>
      </c>
      <c r="K31" s="31">
        <f>'октябрь 2014г. по 6-10'!K31+'октябрь 2014г. по 0,4'!K28</f>
        <v>267</v>
      </c>
      <c r="L31" s="31">
        <f>'октябрь 2014г. по 6-10'!L31+'октябрь 2014г. по 0,4'!L28</f>
        <v>0</v>
      </c>
      <c r="M31" s="31">
        <f>'октябрь 2014г. по 6-10'!M31+'октябрь 2014г. по 0,4'!M28</f>
        <v>0</v>
      </c>
      <c r="N31" s="31">
        <f>'октябрь 2014г. по 6-10'!N31+'октябрь 2014г. по 0,4'!N28</f>
        <v>0</v>
      </c>
      <c r="O31" s="31">
        <f>'октябрь 2014г. по 6-10'!O31+'октябрь 2014г. по 0,4'!O28</f>
        <v>0</v>
      </c>
      <c r="P31" s="31">
        <f>'октябрь 2014г. по 6-10'!P31+'октябрь 2014г. по 0,4'!P28</f>
        <v>0</v>
      </c>
      <c r="Q31" s="31">
        <f>'октябрь 2014г. по 6-10'!Q31+'октябрь 2014г. по 0,4'!Q28</f>
        <v>0</v>
      </c>
    </row>
    <row r="32" spans="1:17" ht="12.75" customHeight="1" x14ac:dyDescent="0.2">
      <c r="A32" s="18"/>
      <c r="B32" s="18"/>
      <c r="C32" s="18" t="s">
        <v>315</v>
      </c>
      <c r="D32" s="31">
        <f>'октябрь 2014г. по 6-10'!D32+'октябрь 2014г. по 0,4'!D29</f>
        <v>33</v>
      </c>
      <c r="E32" s="31">
        <f>'октябрь 2014г. по 6-10'!E32+'октябрь 2014г. по 0,4'!E29</f>
        <v>1510</v>
      </c>
      <c r="F32" s="31">
        <f>'октябрь 2014г. по 6-10'!F32+'октябрь 2014г. по 0,4'!F29</f>
        <v>31</v>
      </c>
      <c r="G32" s="31">
        <f>'октябрь 2014г. по 6-10'!G32+'октябрь 2014г. по 0,4'!G29</f>
        <v>1110</v>
      </c>
      <c r="H32" s="31">
        <f>'октябрь 2014г. по 6-10'!H32+'октябрь 2014г. по 0,4'!H29</f>
        <v>0</v>
      </c>
      <c r="I32" s="31">
        <f>'октябрь 2014г. по 6-10'!I32+'октябрь 2014г. по 0,4'!I29</f>
        <v>0</v>
      </c>
      <c r="J32" s="31">
        <f>'октябрь 2014г. по 6-10'!J32+'октябрь 2014г. по 0,4'!J29</f>
        <v>39</v>
      </c>
      <c r="K32" s="31">
        <f>'октябрь 2014г. по 6-10'!K32+'октябрь 2014г. по 0,4'!K29</f>
        <v>280</v>
      </c>
      <c r="L32" s="31">
        <f>'октябрь 2014г. по 6-10'!L32+'октябрь 2014г. по 0,4'!L29</f>
        <v>0</v>
      </c>
      <c r="M32" s="31">
        <f>'октябрь 2014г. по 6-10'!M32+'октябрь 2014г. по 0,4'!M29</f>
        <v>0</v>
      </c>
      <c r="N32" s="31">
        <f>'октябрь 2014г. по 6-10'!N32+'октябрь 2014г. по 0,4'!N29</f>
        <v>0</v>
      </c>
      <c r="O32" s="31">
        <f>'октябрь 2014г. по 6-10'!O32+'октябрь 2014г. по 0,4'!O29</f>
        <v>0</v>
      </c>
      <c r="P32" s="31">
        <f>'октябрь 2014г. по 6-10'!P32+'октябрь 2014г. по 0,4'!P29</f>
        <v>0</v>
      </c>
      <c r="Q32" s="31">
        <f>'октябрь 2014г. по 6-10'!Q32+'октябрь 2014г. по 0,4'!Q29</f>
        <v>0</v>
      </c>
    </row>
    <row r="33" spans="1:17" ht="12.75" customHeight="1" x14ac:dyDescent="0.2">
      <c r="A33" s="18"/>
      <c r="B33" s="18"/>
      <c r="C33" s="18" t="s">
        <v>316</v>
      </c>
      <c r="D33" s="31">
        <f>'октябрь 2014г. по 6-10'!D33+'октябрь 2014г. по 0,4'!D30</f>
        <v>14</v>
      </c>
      <c r="E33" s="31">
        <f>'октябрь 2014г. по 6-10'!E33+'октябрь 2014г. по 0,4'!E30</f>
        <v>1074.0999999999999</v>
      </c>
      <c r="F33" s="31">
        <f>'октябрь 2014г. по 6-10'!F33+'октябрь 2014г. по 0,4'!F30</f>
        <v>14</v>
      </c>
      <c r="G33" s="31">
        <f>'октябрь 2014г. по 6-10'!G33+'октябрь 2014г. по 0,4'!G30</f>
        <v>1074.0999999999999</v>
      </c>
      <c r="H33" s="31">
        <f>'октябрь 2014г. по 6-10'!H33+'октябрь 2014г. по 0,4'!H30</f>
        <v>0</v>
      </c>
      <c r="I33" s="31">
        <f>'октябрь 2014г. по 6-10'!I33+'октябрь 2014г. по 0,4'!I30</f>
        <v>0</v>
      </c>
      <c r="J33" s="31">
        <f>'октябрь 2014г. по 6-10'!J33+'октябрь 2014г. по 0,4'!J30</f>
        <v>41</v>
      </c>
      <c r="K33" s="31">
        <f>'октябрь 2014г. по 6-10'!K33+'октябрь 2014г. по 0,4'!K30</f>
        <v>320</v>
      </c>
      <c r="L33" s="31">
        <f>'октябрь 2014г. по 6-10'!L33+'октябрь 2014г. по 0,4'!L30</f>
        <v>0</v>
      </c>
      <c r="M33" s="31">
        <f>'октябрь 2014г. по 6-10'!M33+'октябрь 2014г. по 0,4'!M30</f>
        <v>0</v>
      </c>
      <c r="N33" s="31">
        <f>'октябрь 2014г. по 6-10'!N33+'октябрь 2014г. по 0,4'!N30</f>
        <v>0</v>
      </c>
      <c r="O33" s="31">
        <f>'октябрь 2014г. по 6-10'!O33+'октябрь 2014г. по 0,4'!O30</f>
        <v>0</v>
      </c>
      <c r="P33" s="31">
        <f>'октябрь 2014г. по 6-10'!P33+'октябрь 2014г. по 0,4'!P30</f>
        <v>0</v>
      </c>
      <c r="Q33" s="31">
        <f>'октябрь 2014г. по 6-10'!Q33+'октябрь 2014г. по 0,4'!Q30</f>
        <v>0</v>
      </c>
    </row>
    <row r="34" spans="1:17" ht="12.75" customHeight="1" x14ac:dyDescent="0.2">
      <c r="A34" s="18"/>
      <c r="B34" s="18"/>
      <c r="C34" s="18" t="s">
        <v>317</v>
      </c>
      <c r="D34" s="31">
        <f>'октябрь 2014г. по 6-10'!D34+'октябрь 2014г. по 0,4'!D31</f>
        <v>19</v>
      </c>
      <c r="E34" s="31">
        <f>'октябрь 2014г. по 6-10'!E34+'октябрь 2014г. по 0,4'!E31</f>
        <v>440</v>
      </c>
      <c r="F34" s="31">
        <f>'октябрь 2014г. по 6-10'!F34+'октябрь 2014г. по 0,4'!F31</f>
        <v>19</v>
      </c>
      <c r="G34" s="31">
        <f>'октябрь 2014г. по 6-10'!G34+'октябрь 2014г. по 0,4'!G31</f>
        <v>440</v>
      </c>
      <c r="H34" s="31">
        <f>'октябрь 2014г. по 6-10'!H34+'октябрь 2014г. по 0,4'!H31</f>
        <v>0</v>
      </c>
      <c r="I34" s="31">
        <f>'октябрь 2014г. по 6-10'!I34+'октябрь 2014г. по 0,4'!I31</f>
        <v>0</v>
      </c>
      <c r="J34" s="31">
        <f>'октябрь 2014г. по 6-10'!J34+'октябрь 2014г. по 0,4'!J31</f>
        <v>25</v>
      </c>
      <c r="K34" s="31">
        <f>'октябрь 2014г. по 6-10'!K34+'октябрь 2014г. по 0,4'!K31</f>
        <v>365</v>
      </c>
      <c r="L34" s="31">
        <f>'октябрь 2014г. по 6-10'!L34+'октябрь 2014г. по 0,4'!L31</f>
        <v>0</v>
      </c>
      <c r="M34" s="31">
        <f>'октябрь 2014г. по 6-10'!M34+'октябрь 2014г. по 0,4'!M31</f>
        <v>0</v>
      </c>
      <c r="N34" s="31">
        <f>'октябрь 2014г. по 6-10'!N34+'октябрь 2014г. по 0,4'!N31</f>
        <v>0</v>
      </c>
      <c r="O34" s="31">
        <f>'октябрь 2014г. по 6-10'!O34+'октябрь 2014г. по 0,4'!O31</f>
        <v>0</v>
      </c>
      <c r="P34" s="31">
        <f>'октябрь 2014г. по 6-10'!P34+'октябрь 2014г. по 0,4'!P31</f>
        <v>0</v>
      </c>
      <c r="Q34" s="31">
        <f>'октябрь 2014г. по 6-10'!Q34+'октябрь 2014г. по 0,4'!Q31</f>
        <v>0</v>
      </c>
    </row>
    <row r="35" spans="1:17" ht="12.75" customHeight="1" x14ac:dyDescent="0.2">
      <c r="A35" s="18"/>
      <c r="B35" s="18"/>
      <c r="C35" s="18" t="s">
        <v>318</v>
      </c>
      <c r="D35" s="31">
        <f>'октябрь 2014г. по 6-10'!D35+'октябрь 2014г. по 0,4'!D32</f>
        <v>24</v>
      </c>
      <c r="E35" s="31">
        <f>'октябрь 2014г. по 6-10'!E35+'октябрь 2014г. по 0,4'!E32</f>
        <v>1145</v>
      </c>
      <c r="F35" s="31">
        <f>'октябрь 2014г. по 6-10'!F35+'октябрь 2014г. по 0,4'!F32</f>
        <v>24</v>
      </c>
      <c r="G35" s="31">
        <f>'октябрь 2014г. по 6-10'!G35+'октябрь 2014г. по 0,4'!G32</f>
        <v>945</v>
      </c>
      <c r="H35" s="31">
        <f>'октябрь 2014г. по 6-10'!H35+'октябрь 2014г. по 0,4'!H32</f>
        <v>0</v>
      </c>
      <c r="I35" s="31">
        <f>'октябрь 2014г. по 6-10'!I35+'октябрь 2014г. по 0,4'!I32</f>
        <v>0</v>
      </c>
      <c r="J35" s="31">
        <f>'октябрь 2014г. по 6-10'!J35+'октябрь 2014г. по 0,4'!J32</f>
        <v>20</v>
      </c>
      <c r="K35" s="31">
        <f>'октябрь 2014г. по 6-10'!K35+'октябрь 2014г. по 0,4'!K32</f>
        <v>216</v>
      </c>
      <c r="L35" s="31">
        <f>'октябрь 2014г. по 6-10'!L35+'октябрь 2014г. по 0,4'!L32</f>
        <v>0</v>
      </c>
      <c r="M35" s="31">
        <f>'октябрь 2014г. по 6-10'!M35+'октябрь 2014г. по 0,4'!M32</f>
        <v>0</v>
      </c>
      <c r="N35" s="31">
        <f>'октябрь 2014г. по 6-10'!N35+'октябрь 2014г. по 0,4'!N32</f>
        <v>0</v>
      </c>
      <c r="O35" s="31">
        <f>'октябрь 2014г. по 6-10'!O35+'октябрь 2014г. по 0,4'!O32</f>
        <v>0</v>
      </c>
      <c r="P35" s="31">
        <f>'октябрь 2014г. по 6-10'!P35+'октябрь 2014г. по 0,4'!P32</f>
        <v>0</v>
      </c>
      <c r="Q35" s="31">
        <f>'октябрь 2014г. по 6-10'!Q35+'октябрь 2014г. по 0,4'!Q32</f>
        <v>0</v>
      </c>
    </row>
    <row r="36" spans="1:17" ht="12.75" customHeight="1" x14ac:dyDescent="0.2">
      <c r="A36" s="18"/>
      <c r="B36" s="18"/>
      <c r="C36" s="18" t="s">
        <v>319</v>
      </c>
      <c r="D36" s="31">
        <f>'октябрь 2014г. по 6-10'!D36+'октябрь 2014г. по 0,4'!D33</f>
        <v>68</v>
      </c>
      <c r="E36" s="31">
        <f>'октябрь 2014г. по 6-10'!E36+'октябрь 2014г. по 0,4'!E33</f>
        <v>2355</v>
      </c>
      <c r="F36" s="31">
        <f>'октябрь 2014г. по 6-10'!F36+'октябрь 2014г. по 0,4'!F33</f>
        <v>55</v>
      </c>
      <c r="G36" s="31">
        <f>'октябрь 2014г. по 6-10'!G36+'октябрь 2014г. по 0,4'!G33</f>
        <v>1935.5</v>
      </c>
      <c r="H36" s="31">
        <f>'октябрь 2014г. по 6-10'!H36+'октябрь 2014г. по 0,4'!H33</f>
        <v>0</v>
      </c>
      <c r="I36" s="31">
        <f>'октябрь 2014г. по 6-10'!I36+'октябрь 2014г. по 0,4'!I33</f>
        <v>0</v>
      </c>
      <c r="J36" s="31">
        <f>'октябрь 2014г. по 6-10'!J36+'октябрь 2014г. по 0,4'!J33</f>
        <v>38</v>
      </c>
      <c r="K36" s="31">
        <f>'октябрь 2014г. по 6-10'!K36+'октябрь 2014г. по 0,4'!K33</f>
        <v>418</v>
      </c>
      <c r="L36" s="31">
        <f>'октябрь 2014г. по 6-10'!L36+'октябрь 2014г. по 0,4'!L33</f>
        <v>0</v>
      </c>
      <c r="M36" s="31">
        <f>'октябрь 2014г. по 6-10'!M36+'октябрь 2014г. по 0,4'!M33</f>
        <v>0</v>
      </c>
      <c r="N36" s="31">
        <f>'октябрь 2014г. по 6-10'!N36+'октябрь 2014г. по 0,4'!N33</f>
        <v>0</v>
      </c>
      <c r="O36" s="31">
        <f>'октябрь 2014г. по 6-10'!O36+'октябрь 2014г. по 0,4'!O33</f>
        <v>0</v>
      </c>
      <c r="P36" s="31">
        <f>'октябрь 2014г. по 6-10'!P36+'октябрь 2014г. по 0,4'!P33</f>
        <v>0</v>
      </c>
      <c r="Q36" s="31">
        <f>'октябрь 2014г. по 6-10'!Q36+'октябрь 2014г. по 0,4'!Q33</f>
        <v>0</v>
      </c>
    </row>
    <row r="37" spans="1:17" ht="12.75" customHeight="1" x14ac:dyDescent="0.2">
      <c r="A37" s="18"/>
      <c r="B37" s="18"/>
      <c r="C37" s="18" t="s">
        <v>320</v>
      </c>
      <c r="D37" s="31">
        <f>'октябрь 2014г. по 6-10'!D37+'октябрь 2014г. по 0,4'!D34</f>
        <v>10</v>
      </c>
      <c r="E37" s="31">
        <f>'октябрь 2014г. по 6-10'!E37+'октябрь 2014г. по 0,4'!E34</f>
        <v>984</v>
      </c>
      <c r="F37" s="31">
        <f>'октябрь 2014г. по 6-10'!F37+'октябрь 2014г. по 0,4'!F34</f>
        <v>10</v>
      </c>
      <c r="G37" s="31">
        <f>'октябрь 2014г. по 6-10'!G37+'октябрь 2014г. по 0,4'!G34</f>
        <v>134</v>
      </c>
      <c r="H37" s="31">
        <f>'октябрь 2014г. по 6-10'!H37+'октябрь 2014г. по 0,4'!H34</f>
        <v>0</v>
      </c>
      <c r="I37" s="31">
        <f>'октябрь 2014г. по 6-10'!I37+'октябрь 2014г. по 0,4'!I34</f>
        <v>0</v>
      </c>
      <c r="J37" s="31">
        <f>'октябрь 2014г. по 6-10'!J37+'октябрь 2014г. по 0,4'!J34</f>
        <v>2</v>
      </c>
      <c r="K37" s="31">
        <f>'октябрь 2014г. по 6-10'!K37+'октябрь 2014г. по 0,4'!K34</f>
        <v>14</v>
      </c>
      <c r="L37" s="31">
        <f>'октябрь 2014г. по 6-10'!L37+'октябрь 2014г. по 0,4'!L34</f>
        <v>0</v>
      </c>
      <c r="M37" s="31">
        <f>'октябрь 2014г. по 6-10'!M37+'октябрь 2014г. по 0,4'!M34</f>
        <v>0</v>
      </c>
      <c r="N37" s="31">
        <f>'октябрь 2014г. по 6-10'!N37+'октябрь 2014г. по 0,4'!N34</f>
        <v>0</v>
      </c>
      <c r="O37" s="31">
        <f>'октябрь 2014г. по 6-10'!O37+'октябрь 2014г. по 0,4'!O34</f>
        <v>0</v>
      </c>
      <c r="P37" s="31">
        <f>'октябрь 2014г. по 6-10'!P37+'октябрь 2014г. по 0,4'!P34</f>
        <v>0</v>
      </c>
      <c r="Q37" s="31">
        <f>'октябрь 2014г. по 6-10'!Q37+'октябрь 2014г. по 0,4'!Q34</f>
        <v>0</v>
      </c>
    </row>
    <row r="38" spans="1:17" ht="12.75" customHeight="1" x14ac:dyDescent="0.2">
      <c r="A38" s="18"/>
      <c r="B38" s="18"/>
      <c r="C38" s="18" t="s">
        <v>321</v>
      </c>
      <c r="D38" s="31">
        <f>'октябрь 2014г. по 6-10'!D38+'октябрь 2014г. по 0,4'!D35</f>
        <v>24</v>
      </c>
      <c r="E38" s="31">
        <f>'октябрь 2014г. по 6-10'!E38+'октябрь 2014г. по 0,4'!E35</f>
        <v>795</v>
      </c>
      <c r="F38" s="31">
        <f>'октябрь 2014г. по 6-10'!F38+'октябрь 2014г. по 0,4'!F35</f>
        <v>12</v>
      </c>
      <c r="G38" s="31">
        <f>'октябрь 2014г. по 6-10'!G38+'октябрь 2014г. по 0,4'!G35</f>
        <v>300</v>
      </c>
      <c r="H38" s="31">
        <f>'октябрь 2014г. по 6-10'!H38+'октябрь 2014г. по 0,4'!H35</f>
        <v>0</v>
      </c>
      <c r="I38" s="31">
        <f>'октябрь 2014г. по 6-10'!I38+'октябрь 2014г. по 0,4'!I35</f>
        <v>0</v>
      </c>
      <c r="J38" s="31">
        <f>'октябрь 2014г. по 6-10'!J38+'октябрь 2014г. по 0,4'!J35</f>
        <v>39</v>
      </c>
      <c r="K38" s="31">
        <f>'октябрь 2014г. по 6-10'!K38+'октябрь 2014г. по 0,4'!K35</f>
        <v>640</v>
      </c>
      <c r="L38" s="31">
        <f>'октябрь 2014г. по 6-10'!L38+'октябрь 2014г. по 0,4'!L35</f>
        <v>0</v>
      </c>
      <c r="M38" s="31">
        <f>'октябрь 2014г. по 6-10'!M38+'октябрь 2014г. по 0,4'!M35</f>
        <v>0</v>
      </c>
      <c r="N38" s="31">
        <f>'октябрь 2014г. по 6-10'!N38+'октябрь 2014г. по 0,4'!N35</f>
        <v>0</v>
      </c>
      <c r="O38" s="31">
        <f>'октябрь 2014г. по 6-10'!O38+'октябрь 2014г. по 0,4'!O35</f>
        <v>0</v>
      </c>
      <c r="P38" s="31">
        <f>'октябрь 2014г. по 6-10'!P38+'октябрь 2014г. по 0,4'!P35</f>
        <v>0</v>
      </c>
      <c r="Q38" s="31">
        <f>'октябрь 2014г. по 6-10'!Q38+'октябрь 2014г. по 0,4'!Q35</f>
        <v>0</v>
      </c>
    </row>
    <row r="39" spans="1:17" ht="12.75" customHeight="1" x14ac:dyDescent="0.2">
      <c r="A39" s="18"/>
      <c r="B39" s="18"/>
      <c r="C39" s="18" t="s">
        <v>322</v>
      </c>
      <c r="D39" s="31">
        <f>'октябрь 2014г. по 6-10'!D39+'октябрь 2014г. по 0,4'!D36</f>
        <v>104</v>
      </c>
      <c r="E39" s="31">
        <f>'октябрь 2014г. по 6-10'!E39+'октябрь 2014г. по 0,4'!E36</f>
        <v>1301</v>
      </c>
      <c r="F39" s="31">
        <f>'октябрь 2014г. по 6-10'!F39+'октябрь 2014г. по 0,4'!F36</f>
        <v>83</v>
      </c>
      <c r="G39" s="31">
        <f>'октябрь 2014г. по 6-10'!G39+'октябрь 2014г. по 0,4'!G36</f>
        <v>612</v>
      </c>
      <c r="H39" s="31">
        <f>'октябрь 2014г. по 6-10'!H39+'октябрь 2014г. по 0,4'!H36</f>
        <v>0</v>
      </c>
      <c r="I39" s="31">
        <f>'октябрь 2014г. по 6-10'!I39+'октябрь 2014г. по 0,4'!I36</f>
        <v>0</v>
      </c>
      <c r="J39" s="31">
        <f>'октябрь 2014г. по 6-10'!J39+'октябрь 2014г. по 0,4'!J36</f>
        <v>67</v>
      </c>
      <c r="K39" s="31">
        <f>'октябрь 2014г. по 6-10'!K39+'октябрь 2014г. по 0,4'!K36</f>
        <v>1410</v>
      </c>
      <c r="L39" s="31">
        <f>'октябрь 2014г. по 6-10'!L39+'октябрь 2014г. по 0,4'!L36</f>
        <v>0</v>
      </c>
      <c r="M39" s="31">
        <f>'октябрь 2014г. по 6-10'!M39+'октябрь 2014г. по 0,4'!M36</f>
        <v>0</v>
      </c>
      <c r="N39" s="31">
        <f>'октябрь 2014г. по 6-10'!N39+'октябрь 2014г. по 0,4'!N36</f>
        <v>0</v>
      </c>
      <c r="O39" s="31">
        <f>'октябрь 2014г. по 6-10'!O39+'октябрь 2014г. по 0,4'!O36</f>
        <v>0</v>
      </c>
      <c r="P39" s="31">
        <f>'октябрь 2014г. по 6-10'!P39+'октябрь 2014г. по 0,4'!P36</f>
        <v>0</v>
      </c>
      <c r="Q39" s="31">
        <f>'октябрь 2014г. по 6-10'!Q39+'октябрь 2014г. по 0,4'!Q36</f>
        <v>0</v>
      </c>
    </row>
    <row r="40" spans="1:17" ht="12.75" customHeight="1" x14ac:dyDescent="0.2">
      <c r="A40" s="18"/>
      <c r="B40" s="18"/>
      <c r="C40" s="18" t="s">
        <v>323</v>
      </c>
      <c r="D40" s="31">
        <f>'октябрь 2014г. по 6-10'!D40+'октябрь 2014г. по 0,4'!D37</f>
        <v>69</v>
      </c>
      <c r="E40" s="31">
        <f>'октябрь 2014г. по 6-10'!E40+'октябрь 2014г. по 0,4'!E37</f>
        <v>510.5</v>
      </c>
      <c r="F40" s="31">
        <f>'октябрь 2014г. по 6-10'!F40+'октябрь 2014г. по 0,4'!F37</f>
        <v>28</v>
      </c>
      <c r="G40" s="31">
        <f>'октябрь 2014г. по 6-10'!G40+'октябрь 2014г. по 0,4'!G37</f>
        <v>217</v>
      </c>
      <c r="H40" s="31">
        <f>'октябрь 2014г. по 6-10'!H40+'октябрь 2014г. по 0,4'!H37</f>
        <v>0</v>
      </c>
      <c r="I40" s="31">
        <f>'октябрь 2014г. по 6-10'!I40+'октябрь 2014г. по 0,4'!I37</f>
        <v>0</v>
      </c>
      <c r="J40" s="31">
        <f>'октябрь 2014г. по 6-10'!J40+'октябрь 2014г. по 0,4'!J37</f>
        <v>70</v>
      </c>
      <c r="K40" s="31">
        <f>'октябрь 2014г. по 6-10'!K40+'октябрь 2014г. по 0,4'!K37</f>
        <v>1060</v>
      </c>
      <c r="L40" s="31">
        <f>'октябрь 2014г. по 6-10'!L40+'октябрь 2014г. по 0,4'!L37</f>
        <v>0</v>
      </c>
      <c r="M40" s="31">
        <f>'октябрь 2014г. по 6-10'!M40+'октябрь 2014г. по 0,4'!M37</f>
        <v>0</v>
      </c>
      <c r="N40" s="31">
        <f>'октябрь 2014г. по 6-10'!N40+'октябрь 2014г. по 0,4'!N37</f>
        <v>0</v>
      </c>
      <c r="O40" s="31">
        <f>'октябрь 2014г. по 6-10'!O40+'октябрь 2014г. по 0,4'!O37</f>
        <v>0</v>
      </c>
      <c r="P40" s="31">
        <f>'октябрь 2014г. по 6-10'!P40+'октябрь 2014г. по 0,4'!P37</f>
        <v>0</v>
      </c>
      <c r="Q40" s="31">
        <f>'октябрь 2014г. по 6-10'!Q40+'октябрь 2014г. по 0,4'!Q37</f>
        <v>0</v>
      </c>
    </row>
    <row r="41" spans="1:17" ht="12.75" customHeight="1" x14ac:dyDescent="0.2">
      <c r="A41" s="18"/>
      <c r="B41" s="18"/>
      <c r="C41" s="18" t="s">
        <v>324</v>
      </c>
      <c r="D41" s="31">
        <f>'октябрь 2014г. по 6-10'!D41+'октябрь 2014г. по 0,4'!D38</f>
        <v>36</v>
      </c>
      <c r="E41" s="31">
        <f>'октябрь 2014г. по 6-10'!E41+'октябрь 2014г. по 0,4'!E38</f>
        <v>1986.2</v>
      </c>
      <c r="F41" s="31">
        <f>'октябрь 2014г. по 6-10'!F41+'октябрь 2014г. по 0,4'!F38</f>
        <v>24</v>
      </c>
      <c r="G41" s="31">
        <f>'октябрь 2014г. по 6-10'!G41+'октябрь 2014г. по 0,4'!G38</f>
        <v>309</v>
      </c>
      <c r="H41" s="31">
        <f>'октябрь 2014г. по 6-10'!H41+'октябрь 2014г. по 0,4'!H38</f>
        <v>0</v>
      </c>
      <c r="I41" s="31">
        <f>'октябрь 2014г. по 6-10'!I41+'октябрь 2014г. по 0,4'!I38</f>
        <v>0</v>
      </c>
      <c r="J41" s="31">
        <f>'октябрь 2014г. по 6-10'!J41+'октябрь 2014г. по 0,4'!J38</f>
        <v>12</v>
      </c>
      <c r="K41" s="31">
        <f>'октябрь 2014г. по 6-10'!K41+'октябрь 2014г. по 0,4'!K38</f>
        <v>120</v>
      </c>
      <c r="L41" s="31">
        <f>'октябрь 2014г. по 6-10'!L41+'октябрь 2014г. по 0,4'!L38</f>
        <v>0</v>
      </c>
      <c r="M41" s="31">
        <f>'октябрь 2014г. по 6-10'!M41+'октябрь 2014г. по 0,4'!M38</f>
        <v>0</v>
      </c>
      <c r="N41" s="31">
        <f>'октябрь 2014г. по 6-10'!N41+'октябрь 2014г. по 0,4'!N38</f>
        <v>0</v>
      </c>
      <c r="O41" s="31">
        <f>'октябрь 2014г. по 6-10'!O41+'октябрь 2014г. по 0,4'!O38</f>
        <v>0</v>
      </c>
      <c r="P41" s="31">
        <f>'октябрь 2014г. по 6-10'!P41+'октябрь 2014г. по 0,4'!P38</f>
        <v>0</v>
      </c>
      <c r="Q41" s="31">
        <f>'октябрь 2014г. по 6-10'!Q41+'октябрь 2014г. по 0,4'!Q38</f>
        <v>0</v>
      </c>
    </row>
    <row r="42" spans="1:17" ht="12.75" customHeight="1" x14ac:dyDescent="0.2">
      <c r="A42" s="18"/>
      <c r="B42" s="18"/>
      <c r="C42" s="18" t="s">
        <v>325</v>
      </c>
      <c r="D42" s="31">
        <f>'октябрь 2014г. по 6-10'!D42+'октябрь 2014г. по 0,4'!D39</f>
        <v>27</v>
      </c>
      <c r="E42" s="31">
        <f>'октябрь 2014г. по 6-10'!E42+'октябрь 2014г. по 0,4'!E39</f>
        <v>1034.0999999999999</v>
      </c>
      <c r="F42" s="31">
        <f>'октябрь 2014г. по 6-10'!F42+'октябрь 2014г. по 0,4'!F39</f>
        <v>17</v>
      </c>
      <c r="G42" s="31">
        <f>'октябрь 2014г. по 6-10'!G42+'октябрь 2014г. по 0,4'!G39</f>
        <v>976.1</v>
      </c>
      <c r="H42" s="31">
        <f>'октябрь 2014г. по 6-10'!H42+'октябрь 2014г. по 0,4'!H39</f>
        <v>0</v>
      </c>
      <c r="I42" s="31">
        <f>'октябрь 2014г. по 6-10'!I42+'октябрь 2014г. по 0,4'!I39</f>
        <v>0</v>
      </c>
      <c r="J42" s="31">
        <f>'октябрь 2014г. по 6-10'!J42+'октябрь 2014г. по 0,4'!J39</f>
        <v>16</v>
      </c>
      <c r="K42" s="31">
        <f>'октябрь 2014г. по 6-10'!K42+'октябрь 2014г. по 0,4'!K39</f>
        <v>161</v>
      </c>
      <c r="L42" s="31">
        <f>'октябрь 2014г. по 6-10'!L42+'октябрь 2014г. по 0,4'!L39</f>
        <v>0</v>
      </c>
      <c r="M42" s="31">
        <f>'октябрь 2014г. по 6-10'!M42+'октябрь 2014г. по 0,4'!M39</f>
        <v>0</v>
      </c>
      <c r="N42" s="31">
        <f>'октябрь 2014г. по 6-10'!N42+'октябрь 2014г. по 0,4'!N39</f>
        <v>0</v>
      </c>
      <c r="O42" s="31">
        <f>'октябрь 2014г. по 6-10'!O42+'октябрь 2014г. по 0,4'!O39</f>
        <v>0</v>
      </c>
      <c r="P42" s="31">
        <f>'октябрь 2014г. по 6-10'!P42+'октябрь 2014г. по 0,4'!P39</f>
        <v>0</v>
      </c>
      <c r="Q42" s="31">
        <f>'октябрь 2014г. по 6-10'!Q42+'октябрь 2014г. по 0,4'!Q39</f>
        <v>0</v>
      </c>
    </row>
    <row r="43" spans="1:17" ht="12.75" customHeight="1" x14ac:dyDescent="0.2">
      <c r="A43" s="18"/>
      <c r="B43" s="18"/>
      <c r="C43" s="18" t="s">
        <v>326</v>
      </c>
      <c r="D43" s="31">
        <f>'октябрь 2014г. по 6-10'!D43+'октябрь 2014г. по 0,4'!D40</f>
        <v>20</v>
      </c>
      <c r="E43" s="31">
        <f>'октябрь 2014г. по 6-10'!E43+'октябрь 2014г. по 0,4'!E40</f>
        <v>589</v>
      </c>
      <c r="F43" s="31">
        <f>'октябрь 2014г. по 6-10'!F43+'октябрь 2014г. по 0,4'!F40</f>
        <v>11</v>
      </c>
      <c r="G43" s="31">
        <f>'октябрь 2014г. по 6-10'!G43+'октябрь 2014г. по 0,4'!G40</f>
        <v>286</v>
      </c>
      <c r="H43" s="31">
        <f>'октябрь 2014г. по 6-10'!H43+'октябрь 2014г. по 0,4'!H40</f>
        <v>0</v>
      </c>
      <c r="I43" s="31">
        <f>'октябрь 2014г. по 6-10'!I43+'октябрь 2014г. по 0,4'!I40</f>
        <v>0</v>
      </c>
      <c r="J43" s="31">
        <f>'октябрь 2014г. по 6-10'!J43+'октябрь 2014г. по 0,4'!J40</f>
        <v>18</v>
      </c>
      <c r="K43" s="31">
        <f>'октябрь 2014г. по 6-10'!K43+'октябрь 2014г. по 0,4'!K40</f>
        <v>100</v>
      </c>
      <c r="L43" s="31">
        <f>'октябрь 2014г. по 6-10'!L43+'октябрь 2014г. по 0,4'!L40</f>
        <v>0</v>
      </c>
      <c r="M43" s="31">
        <f>'октябрь 2014г. по 6-10'!M43+'октябрь 2014г. по 0,4'!M40</f>
        <v>0</v>
      </c>
      <c r="N43" s="31">
        <f>'октябрь 2014г. по 6-10'!N43+'октябрь 2014г. по 0,4'!N40</f>
        <v>0</v>
      </c>
      <c r="O43" s="31">
        <f>'октябрь 2014г. по 6-10'!O43+'октябрь 2014г. по 0,4'!O40</f>
        <v>0</v>
      </c>
      <c r="P43" s="31">
        <f>'октябрь 2014г. по 6-10'!P43+'октябрь 2014г. по 0,4'!P40</f>
        <v>0</v>
      </c>
      <c r="Q43" s="31">
        <f>'октябрь 2014г. по 6-10'!Q43+'октябрь 2014г. по 0,4'!Q40</f>
        <v>0</v>
      </c>
    </row>
    <row r="44" spans="1:17" ht="12.75" customHeight="1" x14ac:dyDescent="0.2">
      <c r="A44" s="18"/>
      <c r="B44" s="18"/>
      <c r="C44" s="18" t="s">
        <v>327</v>
      </c>
      <c r="D44" s="31">
        <f>'октябрь 2014г. по 6-10'!D44+'октябрь 2014г. по 0,4'!D41</f>
        <v>0</v>
      </c>
      <c r="E44" s="31">
        <f>'октябрь 2014г. по 6-10'!E44+'октябрь 2014г. по 0,4'!E41</f>
        <v>0</v>
      </c>
      <c r="F44" s="31">
        <f>'октябрь 2014г. по 6-10'!F44+'октябрь 2014г. по 0,4'!F41</f>
        <v>0</v>
      </c>
      <c r="G44" s="31">
        <f>'октябрь 2014г. по 6-10'!G44+'октябрь 2014г. по 0,4'!G41</f>
        <v>0</v>
      </c>
      <c r="H44" s="31">
        <f>'октябрь 2014г. по 6-10'!H44+'октябрь 2014г. по 0,4'!H41</f>
        <v>0</v>
      </c>
      <c r="I44" s="31">
        <f>'октябрь 2014г. по 6-10'!I44+'октябрь 2014г. по 0,4'!I41</f>
        <v>0</v>
      </c>
      <c r="J44" s="31">
        <f>'октябрь 2014г. по 6-10'!J44+'октябрь 2014г. по 0,4'!J41</f>
        <v>0</v>
      </c>
      <c r="K44" s="31">
        <f>'октябрь 2014г. по 6-10'!K44+'октябрь 2014г. по 0,4'!K41</f>
        <v>0</v>
      </c>
      <c r="L44" s="31">
        <f>'октябрь 2014г. по 6-10'!L44+'октябрь 2014г. по 0,4'!L41</f>
        <v>0</v>
      </c>
      <c r="M44" s="31">
        <f>'октябрь 2014г. по 6-10'!M44+'октябрь 2014г. по 0,4'!M41</f>
        <v>0</v>
      </c>
      <c r="N44" s="31">
        <f>'октябрь 2014г. по 6-10'!N44+'октябрь 2014г. по 0,4'!N41</f>
        <v>0</v>
      </c>
      <c r="O44" s="31">
        <f>'октябрь 2014г. по 6-10'!O44+'октябрь 2014г. по 0,4'!O41</f>
        <v>0</v>
      </c>
      <c r="P44" s="31">
        <f>'октябрь 2014г. по 6-10'!P44+'октябрь 2014г. по 0,4'!P41</f>
        <v>0</v>
      </c>
      <c r="Q44" s="31">
        <f>'октябрь 2014г. по 6-10'!Q44+'октябрь 2014г. по 0,4'!Q41</f>
        <v>0</v>
      </c>
    </row>
    <row r="45" spans="1:17" ht="12.75" customHeight="1" x14ac:dyDescent="0.2">
      <c r="A45" s="18"/>
      <c r="B45" s="18"/>
      <c r="C45" s="18" t="s">
        <v>328</v>
      </c>
      <c r="D45" s="31">
        <f>'октябрь 2014г. по 6-10'!D45+'октябрь 2014г. по 0,4'!D42</f>
        <v>7</v>
      </c>
      <c r="E45" s="31">
        <f>'октябрь 2014г. по 6-10'!E45+'октябрь 2014г. по 0,4'!E42</f>
        <v>527</v>
      </c>
      <c r="F45" s="31">
        <f>'октябрь 2014г. по 6-10'!F45+'октябрь 2014г. по 0,4'!F42</f>
        <v>7</v>
      </c>
      <c r="G45" s="31">
        <f>'октябрь 2014г. по 6-10'!G45+'октябрь 2014г. по 0,4'!G42</f>
        <v>329</v>
      </c>
      <c r="H45" s="31">
        <f>'октябрь 2014г. по 6-10'!H45+'октябрь 2014г. по 0,4'!H42</f>
        <v>0</v>
      </c>
      <c r="I45" s="31">
        <f>'октябрь 2014г. по 6-10'!I45+'октябрь 2014г. по 0,4'!I42</f>
        <v>0</v>
      </c>
      <c r="J45" s="31">
        <f>'октябрь 2014г. по 6-10'!J45+'октябрь 2014г. по 0,4'!J42</f>
        <v>3</v>
      </c>
      <c r="K45" s="31">
        <f>'октябрь 2014г. по 6-10'!K45+'октябрь 2014г. по 0,4'!K42</f>
        <v>12</v>
      </c>
      <c r="L45" s="31">
        <f>'октябрь 2014г. по 6-10'!L45+'октябрь 2014г. по 0,4'!L42</f>
        <v>0</v>
      </c>
      <c r="M45" s="31">
        <f>'октябрь 2014г. по 6-10'!M45+'октябрь 2014г. по 0,4'!M42</f>
        <v>0</v>
      </c>
      <c r="N45" s="31">
        <f>'октябрь 2014г. по 6-10'!N45+'октябрь 2014г. по 0,4'!N42</f>
        <v>0</v>
      </c>
      <c r="O45" s="31">
        <f>'октябрь 2014г. по 6-10'!O45+'октябрь 2014г. по 0,4'!O42</f>
        <v>0</v>
      </c>
      <c r="P45" s="31">
        <f>'октябрь 2014г. по 6-10'!P45+'октябрь 2014г. по 0,4'!P42</f>
        <v>0</v>
      </c>
      <c r="Q45" s="31">
        <f>'октябрь 2014г. по 6-10'!Q45+'октябрь 2014г. по 0,4'!Q42</f>
        <v>0</v>
      </c>
    </row>
    <row r="46" spans="1:17" ht="12.75" customHeight="1" x14ac:dyDescent="0.2">
      <c r="A46" s="18"/>
      <c r="B46" s="18"/>
      <c r="C46" s="18" t="s">
        <v>329</v>
      </c>
      <c r="D46" s="31">
        <f>'октябрь 2014г. по 6-10'!D46+'октябрь 2014г. по 0,4'!D43</f>
        <v>5</v>
      </c>
      <c r="E46" s="31">
        <f>'октябрь 2014г. по 6-10'!E46+'октябрь 2014г. по 0,4'!E43</f>
        <v>35</v>
      </c>
      <c r="F46" s="31">
        <f>'октябрь 2014г. по 6-10'!F46+'октябрь 2014г. по 0,4'!F43</f>
        <v>5</v>
      </c>
      <c r="G46" s="31">
        <f>'октябрь 2014г. по 6-10'!G46+'октябрь 2014г. по 0,4'!G43</f>
        <v>35</v>
      </c>
      <c r="H46" s="31">
        <f>'октябрь 2014г. по 6-10'!H46+'октябрь 2014г. по 0,4'!H43</f>
        <v>0</v>
      </c>
      <c r="I46" s="31">
        <f>'октябрь 2014г. по 6-10'!I46+'октябрь 2014г. по 0,4'!I43</f>
        <v>0</v>
      </c>
      <c r="J46" s="31">
        <f>'октябрь 2014г. по 6-10'!J46+'октябрь 2014г. по 0,4'!J43</f>
        <v>19</v>
      </c>
      <c r="K46" s="31">
        <f>'октябрь 2014г. по 6-10'!K46+'октябрь 2014г. по 0,4'!K43</f>
        <v>175</v>
      </c>
      <c r="L46" s="31">
        <f>'октябрь 2014г. по 6-10'!L46+'октябрь 2014г. по 0,4'!L43</f>
        <v>0</v>
      </c>
      <c r="M46" s="31">
        <f>'октябрь 2014г. по 6-10'!M46+'октябрь 2014г. по 0,4'!M43</f>
        <v>0</v>
      </c>
      <c r="N46" s="31">
        <f>'октябрь 2014г. по 6-10'!N46+'октябрь 2014г. по 0,4'!N43</f>
        <v>0</v>
      </c>
      <c r="O46" s="31">
        <f>'октябрь 2014г. по 6-10'!O46+'октябрь 2014г. по 0,4'!O43</f>
        <v>0</v>
      </c>
      <c r="P46" s="31">
        <f>'октябрь 2014г. по 6-10'!P46+'октябрь 2014г. по 0,4'!P43</f>
        <v>0</v>
      </c>
      <c r="Q46" s="31">
        <f>'октябрь 2014г. по 6-10'!Q46+'октябрь 2014г. по 0,4'!Q43</f>
        <v>0</v>
      </c>
    </row>
    <row r="47" spans="1:17" ht="12.75" customHeight="1" x14ac:dyDescent="0.2">
      <c r="A47" s="18"/>
      <c r="B47" s="18"/>
      <c r="C47" s="18" t="s">
        <v>330</v>
      </c>
      <c r="D47" s="31">
        <f>'октябрь 2014г. по 6-10'!D47+'октябрь 2014г. по 0,4'!D44</f>
        <v>0</v>
      </c>
      <c r="E47" s="31">
        <f>'октябрь 2014г. по 6-10'!E47+'октябрь 2014г. по 0,4'!E44</f>
        <v>0</v>
      </c>
      <c r="F47" s="31">
        <f>'октябрь 2014г. по 6-10'!F47+'октябрь 2014г. по 0,4'!F44</f>
        <v>0</v>
      </c>
      <c r="G47" s="31">
        <f>'октябрь 2014г. по 6-10'!G47+'октябрь 2014г. по 0,4'!G44</f>
        <v>0</v>
      </c>
      <c r="H47" s="31">
        <f>'октябрь 2014г. по 6-10'!H47+'октябрь 2014г. по 0,4'!H44</f>
        <v>0</v>
      </c>
      <c r="I47" s="31">
        <f>'октябрь 2014г. по 6-10'!I47+'октябрь 2014г. по 0,4'!I44</f>
        <v>0</v>
      </c>
      <c r="J47" s="31">
        <f>'октябрь 2014г. по 6-10'!J47+'октябрь 2014г. по 0,4'!J44</f>
        <v>0</v>
      </c>
      <c r="K47" s="31">
        <f>'октябрь 2014г. по 6-10'!K47+'октябрь 2014г. по 0,4'!K44</f>
        <v>0</v>
      </c>
      <c r="L47" s="31">
        <f>'октябрь 2014г. по 6-10'!L47+'октябрь 2014г. по 0,4'!L44</f>
        <v>0</v>
      </c>
      <c r="M47" s="31">
        <f>'октябрь 2014г. по 6-10'!M47+'октябрь 2014г. по 0,4'!M44</f>
        <v>0</v>
      </c>
      <c r="N47" s="31">
        <f>'октябрь 2014г. по 6-10'!N47+'октябрь 2014г. по 0,4'!N44</f>
        <v>0</v>
      </c>
      <c r="O47" s="31">
        <f>'октябрь 2014г. по 6-10'!O47+'октябрь 2014г. по 0,4'!O44</f>
        <v>0</v>
      </c>
      <c r="P47" s="31">
        <f>'октябрь 2014г. по 6-10'!P47+'октябрь 2014г. по 0,4'!P44</f>
        <v>0</v>
      </c>
      <c r="Q47" s="31">
        <f>'октябрь 2014г. по 6-10'!Q47+'октябрь 2014г. по 0,4'!Q44</f>
        <v>0</v>
      </c>
    </row>
    <row r="48" spans="1:17" ht="12.75" customHeight="1" x14ac:dyDescent="0.2">
      <c r="A48" s="18"/>
      <c r="B48" s="18"/>
      <c r="C48" s="18" t="s">
        <v>331</v>
      </c>
      <c r="D48" s="31">
        <f>'октябрь 2014г. по 6-10'!D48+'октябрь 2014г. по 0,4'!D45</f>
        <v>39</v>
      </c>
      <c r="E48" s="31">
        <f>'октябрь 2014г. по 6-10'!E48+'октябрь 2014г. по 0,4'!E45</f>
        <v>2218</v>
      </c>
      <c r="F48" s="31">
        <f>'октябрь 2014г. по 6-10'!F48+'октябрь 2014г. по 0,4'!F45</f>
        <v>26</v>
      </c>
      <c r="G48" s="31">
        <f>'октябрь 2014г. по 6-10'!G48+'октябрь 2014г. по 0,4'!G45</f>
        <v>830</v>
      </c>
      <c r="H48" s="31">
        <f>'октябрь 2014г. по 6-10'!H48+'октябрь 2014г. по 0,4'!H45</f>
        <v>0</v>
      </c>
      <c r="I48" s="31">
        <f>'октябрь 2014г. по 6-10'!I48+'октябрь 2014г. по 0,4'!I45</f>
        <v>0</v>
      </c>
      <c r="J48" s="31">
        <f>'октябрь 2014г. по 6-10'!J48+'октябрь 2014г. по 0,4'!J45</f>
        <v>26</v>
      </c>
      <c r="K48" s="31">
        <f>'октябрь 2014г. по 6-10'!K48+'октябрь 2014г. по 0,4'!K45</f>
        <v>221</v>
      </c>
      <c r="L48" s="31">
        <f>'октябрь 2014г. по 6-10'!L48+'октябрь 2014г. по 0,4'!L45</f>
        <v>0</v>
      </c>
      <c r="M48" s="31">
        <f>'октябрь 2014г. по 6-10'!M48+'октябрь 2014г. по 0,4'!M45</f>
        <v>0</v>
      </c>
      <c r="N48" s="31">
        <f>'октябрь 2014г. по 6-10'!N48+'октябрь 2014г. по 0,4'!N45</f>
        <v>0</v>
      </c>
      <c r="O48" s="31">
        <f>'октябрь 2014г. по 6-10'!O48+'октябрь 2014г. по 0,4'!O45</f>
        <v>0</v>
      </c>
      <c r="P48" s="31">
        <f>'октябрь 2014г. по 6-10'!P48+'октябрь 2014г. по 0,4'!P45</f>
        <v>0</v>
      </c>
      <c r="Q48" s="31">
        <f>'октябрь 2014г. по 6-10'!Q48+'октябрь 2014г. по 0,4'!Q45</f>
        <v>0</v>
      </c>
    </row>
    <row r="49" spans="1:17" ht="12.75" customHeight="1" x14ac:dyDescent="0.2">
      <c r="A49" s="18"/>
      <c r="B49" s="18"/>
      <c r="C49" s="18" t="s">
        <v>332</v>
      </c>
      <c r="D49" s="31">
        <f>'октябрь 2014г. по 6-10'!D49+'октябрь 2014г. по 0,4'!D46</f>
        <v>3</v>
      </c>
      <c r="E49" s="31">
        <f>'октябрь 2014г. по 6-10'!E49+'октябрь 2014г. по 0,4'!E46</f>
        <v>201.1</v>
      </c>
      <c r="F49" s="31">
        <f>'октябрь 2014г. по 6-10'!F49+'октябрь 2014г. по 0,4'!F46</f>
        <v>3</v>
      </c>
      <c r="G49" s="31">
        <f>'октябрь 2014г. по 6-10'!G49+'октябрь 2014г. по 0,4'!G46</f>
        <v>201.1</v>
      </c>
      <c r="H49" s="31">
        <f>'октябрь 2014г. по 6-10'!H49+'октябрь 2014г. по 0,4'!H46</f>
        <v>0</v>
      </c>
      <c r="I49" s="31">
        <f>'октябрь 2014г. по 6-10'!I49+'октябрь 2014г. по 0,4'!I46</f>
        <v>0</v>
      </c>
      <c r="J49" s="31">
        <f>'октябрь 2014г. по 6-10'!J49+'октябрь 2014г. по 0,4'!J46</f>
        <v>4</v>
      </c>
      <c r="K49" s="31">
        <f>'октябрь 2014г. по 6-10'!K49+'октябрь 2014г. по 0,4'!K46</f>
        <v>135</v>
      </c>
      <c r="L49" s="31">
        <f>'октябрь 2014г. по 6-10'!L49+'октябрь 2014г. по 0,4'!L46</f>
        <v>0</v>
      </c>
      <c r="M49" s="31">
        <f>'октябрь 2014г. по 6-10'!M49+'октябрь 2014г. по 0,4'!M46</f>
        <v>0</v>
      </c>
      <c r="N49" s="31">
        <f>'октябрь 2014г. по 6-10'!N49+'октябрь 2014г. по 0,4'!N46</f>
        <v>0</v>
      </c>
      <c r="O49" s="31">
        <f>'октябрь 2014г. по 6-10'!O49+'октябрь 2014г. по 0,4'!O46</f>
        <v>0</v>
      </c>
      <c r="P49" s="31">
        <f>'октябрь 2014г. по 6-10'!P49+'октябрь 2014г. по 0,4'!P46</f>
        <v>0</v>
      </c>
      <c r="Q49" s="31">
        <f>'октябрь 2014г. по 6-10'!Q49+'октябрь 2014г. по 0,4'!Q46</f>
        <v>0</v>
      </c>
    </row>
    <row r="50" spans="1:17" ht="12.75" customHeight="1" x14ac:dyDescent="0.2">
      <c r="A50" s="18"/>
      <c r="B50" s="18"/>
      <c r="C50" s="18" t="s">
        <v>333</v>
      </c>
      <c r="D50" s="31">
        <f>'октябрь 2014г. по 6-10'!D50+'октябрь 2014г. по 0,4'!D47</f>
        <v>3</v>
      </c>
      <c r="E50" s="31">
        <f>'октябрь 2014г. по 6-10'!E50+'октябрь 2014г. по 0,4'!E47</f>
        <v>183</v>
      </c>
      <c r="F50" s="31">
        <f>'октябрь 2014г. по 6-10'!F50+'октябрь 2014г. по 0,4'!F47</f>
        <v>3</v>
      </c>
      <c r="G50" s="31">
        <f>'октябрь 2014г. по 6-10'!G50+'октябрь 2014г. по 0,4'!G47</f>
        <v>183</v>
      </c>
      <c r="H50" s="31">
        <f>'октябрь 2014г. по 6-10'!H50+'октябрь 2014г. по 0,4'!H47</f>
        <v>0</v>
      </c>
      <c r="I50" s="31">
        <f>'октябрь 2014г. по 6-10'!I50+'октябрь 2014г. по 0,4'!I47</f>
        <v>0</v>
      </c>
      <c r="J50" s="31">
        <f>'октябрь 2014г. по 6-10'!J50+'октябрь 2014г. по 0,4'!J47</f>
        <v>0</v>
      </c>
      <c r="K50" s="31">
        <f>'октябрь 2014г. по 6-10'!K50+'октябрь 2014г. по 0,4'!K47</f>
        <v>0</v>
      </c>
      <c r="L50" s="31">
        <f>'октябрь 2014г. по 6-10'!L50+'октябрь 2014г. по 0,4'!L47</f>
        <v>0</v>
      </c>
      <c r="M50" s="31">
        <f>'октябрь 2014г. по 6-10'!M50+'октябрь 2014г. по 0,4'!M47</f>
        <v>0</v>
      </c>
      <c r="N50" s="31">
        <f>'октябрь 2014г. по 6-10'!N50+'октябрь 2014г. по 0,4'!N47</f>
        <v>0</v>
      </c>
      <c r="O50" s="31">
        <f>'октябрь 2014г. по 6-10'!O50+'октябрь 2014г. по 0,4'!O47</f>
        <v>0</v>
      </c>
      <c r="P50" s="31">
        <f>'октябрь 2014г. по 6-10'!P50+'октябрь 2014г. по 0,4'!P47</f>
        <v>0</v>
      </c>
      <c r="Q50" s="31">
        <f>'октябрь 2014г. по 6-10'!Q50+'октябрь 2014г. по 0,4'!Q47</f>
        <v>0</v>
      </c>
    </row>
    <row r="51" spans="1:17" ht="12.75" customHeight="1" x14ac:dyDescent="0.2">
      <c r="A51" s="18"/>
      <c r="B51" s="18"/>
      <c r="C51" s="18" t="s">
        <v>334</v>
      </c>
      <c r="D51" s="31">
        <f>'октябрь 2014г. по 6-10'!D51+'октябрь 2014г. по 0,4'!D48</f>
        <v>12</v>
      </c>
      <c r="E51" s="31">
        <f>'октябрь 2014г. по 6-10'!E51+'октябрь 2014г. по 0,4'!E48</f>
        <v>1020</v>
      </c>
      <c r="F51" s="31">
        <f>'октябрь 2014г. по 6-10'!F51+'октябрь 2014г. по 0,4'!F48</f>
        <v>10</v>
      </c>
      <c r="G51" s="31">
        <f>'октябрь 2014г. по 6-10'!G51+'октябрь 2014г. по 0,4'!G48</f>
        <v>515</v>
      </c>
      <c r="H51" s="31">
        <f>'октябрь 2014г. по 6-10'!H51+'октябрь 2014г. по 0,4'!H48</f>
        <v>0</v>
      </c>
      <c r="I51" s="31">
        <f>'октябрь 2014г. по 6-10'!I51+'октябрь 2014г. по 0,4'!I48</f>
        <v>0</v>
      </c>
      <c r="J51" s="31">
        <f>'октябрь 2014г. по 6-10'!J51+'октябрь 2014г. по 0,4'!J48</f>
        <v>42</v>
      </c>
      <c r="K51" s="31">
        <f>'октябрь 2014г. по 6-10'!K51+'октябрь 2014г. по 0,4'!K48</f>
        <v>302</v>
      </c>
      <c r="L51" s="31">
        <f>'октябрь 2014г. по 6-10'!L51+'октябрь 2014г. по 0,4'!L48</f>
        <v>0</v>
      </c>
      <c r="M51" s="31">
        <f>'октябрь 2014г. по 6-10'!M51+'октябрь 2014г. по 0,4'!M48</f>
        <v>0</v>
      </c>
      <c r="N51" s="31">
        <f>'октябрь 2014г. по 6-10'!N51+'октябрь 2014г. по 0,4'!N48</f>
        <v>0</v>
      </c>
      <c r="O51" s="31">
        <f>'октябрь 2014г. по 6-10'!O51+'октябрь 2014г. по 0,4'!O48</f>
        <v>0</v>
      </c>
      <c r="P51" s="31">
        <f>'октябрь 2014г. по 6-10'!P51+'октябрь 2014г. по 0,4'!P48</f>
        <v>0</v>
      </c>
      <c r="Q51" s="31">
        <f>'октябрь 2014г. по 6-10'!Q51+'октябрь 2014г. по 0,4'!Q48</f>
        <v>0</v>
      </c>
    </row>
    <row r="52" spans="1:17" ht="12.75" customHeight="1" x14ac:dyDescent="0.2">
      <c r="A52" s="18"/>
      <c r="B52" s="18"/>
      <c r="C52" s="18" t="s">
        <v>335</v>
      </c>
      <c r="D52" s="31">
        <f>'октябрь 2014г. по 6-10'!D52+'октябрь 2014г. по 0,4'!D49</f>
        <v>0</v>
      </c>
      <c r="E52" s="31">
        <f>'октябрь 2014г. по 6-10'!E52+'октябрь 2014г. по 0,4'!E49</f>
        <v>0</v>
      </c>
      <c r="F52" s="31">
        <f>'октябрь 2014г. по 6-10'!F52+'октябрь 2014г. по 0,4'!F49</f>
        <v>0</v>
      </c>
      <c r="G52" s="31">
        <f>'октябрь 2014г. по 6-10'!G52+'октябрь 2014г. по 0,4'!G49</f>
        <v>0</v>
      </c>
      <c r="H52" s="31">
        <f>'октябрь 2014г. по 6-10'!H52+'октябрь 2014г. по 0,4'!H49</f>
        <v>0</v>
      </c>
      <c r="I52" s="31">
        <f>'октябрь 2014г. по 6-10'!I52+'октябрь 2014г. по 0,4'!I49</f>
        <v>0</v>
      </c>
      <c r="J52" s="31">
        <f>'октябрь 2014г. по 6-10'!J52+'октябрь 2014г. по 0,4'!J49</f>
        <v>0</v>
      </c>
      <c r="K52" s="31">
        <f>'октябрь 2014г. по 6-10'!K52+'октябрь 2014г. по 0,4'!K49</f>
        <v>0</v>
      </c>
      <c r="L52" s="31">
        <f>'октябрь 2014г. по 6-10'!L52+'октябрь 2014г. по 0,4'!L49</f>
        <v>0</v>
      </c>
      <c r="M52" s="31">
        <f>'октябрь 2014г. по 6-10'!M52+'октябрь 2014г. по 0,4'!M49</f>
        <v>0</v>
      </c>
      <c r="N52" s="31">
        <f>'октябрь 2014г. по 6-10'!N52+'октябрь 2014г. по 0,4'!N49</f>
        <v>0</v>
      </c>
      <c r="O52" s="31">
        <f>'октябрь 2014г. по 6-10'!O52+'октябрь 2014г. по 0,4'!O49</f>
        <v>0</v>
      </c>
      <c r="P52" s="31">
        <f>'октябрь 2014г. по 6-10'!P52+'октябрь 2014г. по 0,4'!P49</f>
        <v>0</v>
      </c>
      <c r="Q52" s="31">
        <f>'октябрь 2014г. по 6-10'!Q52+'октябрь 2014г. по 0,4'!Q49</f>
        <v>0</v>
      </c>
    </row>
    <row r="53" spans="1:17" ht="12.75" customHeight="1" x14ac:dyDescent="0.2">
      <c r="A53" s="18"/>
      <c r="B53" s="18"/>
      <c r="C53" s="18" t="s">
        <v>336</v>
      </c>
      <c r="D53" s="31">
        <f>'октябрь 2014г. по 6-10'!D53+'октябрь 2014г. по 0,4'!D50</f>
        <v>0</v>
      </c>
      <c r="E53" s="31">
        <f>'октябрь 2014г. по 6-10'!E53+'октябрь 2014г. по 0,4'!E50</f>
        <v>0</v>
      </c>
      <c r="F53" s="31">
        <f>'октябрь 2014г. по 6-10'!F53+'октябрь 2014г. по 0,4'!F50</f>
        <v>0</v>
      </c>
      <c r="G53" s="31">
        <f>'октябрь 2014г. по 6-10'!G53+'октябрь 2014г. по 0,4'!G50</f>
        <v>0</v>
      </c>
      <c r="H53" s="31">
        <f>'октябрь 2014г. по 6-10'!H53+'октябрь 2014г. по 0,4'!H50</f>
        <v>0</v>
      </c>
      <c r="I53" s="31">
        <f>'октябрь 2014г. по 6-10'!I53+'октябрь 2014г. по 0,4'!I50</f>
        <v>0</v>
      </c>
      <c r="J53" s="31">
        <f>'октябрь 2014г. по 6-10'!J53+'октябрь 2014г. по 0,4'!J50</f>
        <v>3</v>
      </c>
      <c r="K53" s="31">
        <f>'октябрь 2014г. по 6-10'!K53+'октябрь 2014г. по 0,4'!K50</f>
        <v>80</v>
      </c>
      <c r="L53" s="31">
        <f>'октябрь 2014г. по 6-10'!L53+'октябрь 2014г. по 0,4'!L50</f>
        <v>0</v>
      </c>
      <c r="M53" s="31">
        <f>'октябрь 2014г. по 6-10'!M53+'октябрь 2014г. по 0,4'!M50</f>
        <v>0</v>
      </c>
      <c r="N53" s="31">
        <f>'октябрь 2014г. по 6-10'!N53+'октябрь 2014г. по 0,4'!N50</f>
        <v>0</v>
      </c>
      <c r="O53" s="31">
        <f>'октябрь 2014г. по 6-10'!O53+'октябрь 2014г. по 0,4'!O50</f>
        <v>0</v>
      </c>
      <c r="P53" s="31">
        <f>'октябрь 2014г. по 6-10'!P53+'октябрь 2014г. по 0,4'!P50</f>
        <v>0</v>
      </c>
      <c r="Q53" s="31">
        <f>'октябрь 2014г. по 6-10'!Q53+'октябрь 2014г. по 0,4'!Q50</f>
        <v>0</v>
      </c>
    </row>
    <row r="54" spans="1:17" ht="12.75" customHeight="1" x14ac:dyDescent="0.2">
      <c r="A54" s="18"/>
      <c r="B54" s="18"/>
      <c r="C54" s="18" t="s">
        <v>337</v>
      </c>
      <c r="D54" s="31">
        <f>'октябрь 2014г. по 6-10'!D54+'октябрь 2014г. по 0,4'!D51</f>
        <v>5</v>
      </c>
      <c r="E54" s="31">
        <f>'октябрь 2014г. по 6-10'!E54+'октябрь 2014г. по 0,4'!E51</f>
        <v>438</v>
      </c>
      <c r="F54" s="31">
        <f>'октябрь 2014г. по 6-10'!F54+'октябрь 2014г. по 0,4'!F51</f>
        <v>5</v>
      </c>
      <c r="G54" s="31">
        <f>'октябрь 2014г. по 6-10'!G54+'октябрь 2014г. по 0,4'!G51</f>
        <v>438</v>
      </c>
      <c r="H54" s="31">
        <f>'октябрь 2014г. по 6-10'!H54+'октябрь 2014г. по 0,4'!H51</f>
        <v>0</v>
      </c>
      <c r="I54" s="31">
        <f>'октябрь 2014г. по 6-10'!I54+'октябрь 2014г. по 0,4'!I51</f>
        <v>0</v>
      </c>
      <c r="J54" s="31">
        <f>'октябрь 2014г. по 6-10'!J54+'октябрь 2014г. по 0,4'!J51</f>
        <v>46</v>
      </c>
      <c r="K54" s="31">
        <f>'октябрь 2014г. по 6-10'!K54+'октябрь 2014г. по 0,4'!K51</f>
        <v>364</v>
      </c>
      <c r="L54" s="31">
        <f>'октябрь 2014г. по 6-10'!L54+'октябрь 2014г. по 0,4'!L51</f>
        <v>0</v>
      </c>
      <c r="M54" s="31">
        <f>'октябрь 2014г. по 6-10'!M54+'октябрь 2014г. по 0,4'!M51</f>
        <v>0</v>
      </c>
      <c r="N54" s="31">
        <f>'октябрь 2014г. по 6-10'!N54+'октябрь 2014г. по 0,4'!N51</f>
        <v>0</v>
      </c>
      <c r="O54" s="31">
        <f>'октябрь 2014г. по 6-10'!O54+'октябрь 2014г. по 0,4'!O51</f>
        <v>0</v>
      </c>
      <c r="P54" s="31">
        <f>'октябрь 2014г. по 6-10'!P54+'октябрь 2014г. по 0,4'!P51</f>
        <v>0</v>
      </c>
      <c r="Q54" s="31">
        <f>'октябрь 2014г. по 6-10'!Q54+'октябрь 2014г. по 0,4'!Q51</f>
        <v>0</v>
      </c>
    </row>
    <row r="55" spans="1:17" ht="12.75" customHeight="1" x14ac:dyDescent="0.2">
      <c r="A55" s="18"/>
      <c r="B55" s="18"/>
      <c r="C55" s="18" t="s">
        <v>338</v>
      </c>
      <c r="D55" s="31">
        <f>'октябрь 2014г. по 6-10'!D55+'октябрь 2014г. по 0,4'!D52</f>
        <v>2</v>
      </c>
      <c r="E55" s="31">
        <f>'октябрь 2014г. по 6-10'!E55+'октябрь 2014г. по 0,4'!E52</f>
        <v>24</v>
      </c>
      <c r="F55" s="31">
        <f>'октябрь 2014г. по 6-10'!F55+'октябрь 2014г. по 0,4'!F52</f>
        <v>2</v>
      </c>
      <c r="G55" s="31">
        <f>'октябрь 2014г. по 6-10'!G55+'октябрь 2014г. по 0,4'!G52</f>
        <v>24</v>
      </c>
      <c r="H55" s="31">
        <f>'октябрь 2014г. по 6-10'!H55+'октябрь 2014г. по 0,4'!H52</f>
        <v>0</v>
      </c>
      <c r="I55" s="31">
        <f>'октябрь 2014г. по 6-10'!I55+'октябрь 2014г. по 0,4'!I52</f>
        <v>0</v>
      </c>
      <c r="J55" s="31">
        <f>'октябрь 2014г. по 6-10'!J55+'октябрь 2014г. по 0,4'!J52</f>
        <v>0</v>
      </c>
      <c r="K55" s="31">
        <f>'октябрь 2014г. по 6-10'!K55+'октябрь 2014г. по 0,4'!K52</f>
        <v>0</v>
      </c>
      <c r="L55" s="31">
        <f>'октябрь 2014г. по 6-10'!L55+'октябрь 2014г. по 0,4'!L52</f>
        <v>0</v>
      </c>
      <c r="M55" s="31">
        <f>'октябрь 2014г. по 6-10'!M55+'октябрь 2014г. по 0,4'!M52</f>
        <v>0</v>
      </c>
      <c r="N55" s="31">
        <f>'октябрь 2014г. по 6-10'!N55+'октябрь 2014г. по 0,4'!N52</f>
        <v>0</v>
      </c>
      <c r="O55" s="31">
        <f>'октябрь 2014г. по 6-10'!O55+'октябрь 2014г. по 0,4'!O52</f>
        <v>0</v>
      </c>
      <c r="P55" s="31">
        <f>'октябрь 2014г. по 6-10'!P55+'октябрь 2014г. по 0,4'!P52</f>
        <v>0</v>
      </c>
      <c r="Q55" s="31">
        <f>'октябрь 2014г. по 6-10'!Q55+'октябрь 2014г. по 0,4'!Q52</f>
        <v>0</v>
      </c>
    </row>
    <row r="56" spans="1:17" ht="12.75" customHeight="1" x14ac:dyDescent="0.2">
      <c r="A56" s="18"/>
      <c r="B56" s="18"/>
      <c r="C56" s="18" t="s">
        <v>339</v>
      </c>
      <c r="D56" s="31">
        <f>'октябрь 2014г. по 6-10'!D56+'октябрь 2014г. по 0,4'!D53</f>
        <v>4</v>
      </c>
      <c r="E56" s="31">
        <f>'октябрь 2014г. по 6-10'!E56+'октябрь 2014г. по 0,4'!E53</f>
        <v>130</v>
      </c>
      <c r="F56" s="31">
        <f>'октябрь 2014г. по 6-10'!F56+'октябрь 2014г. по 0,4'!F53</f>
        <v>4</v>
      </c>
      <c r="G56" s="31">
        <f>'октябрь 2014г. по 6-10'!G56+'октябрь 2014г. по 0,4'!G53</f>
        <v>125</v>
      </c>
      <c r="H56" s="31">
        <f>'октябрь 2014г. по 6-10'!H56+'октябрь 2014г. по 0,4'!H53</f>
        <v>0</v>
      </c>
      <c r="I56" s="31">
        <f>'октябрь 2014г. по 6-10'!I56+'октябрь 2014г. по 0,4'!I53</f>
        <v>0</v>
      </c>
      <c r="J56" s="31">
        <f>'октябрь 2014г. по 6-10'!J56+'октябрь 2014г. по 0,4'!J53</f>
        <v>28</v>
      </c>
      <c r="K56" s="31">
        <f>'октябрь 2014г. по 6-10'!K56+'октябрь 2014г. по 0,4'!K53</f>
        <v>180</v>
      </c>
      <c r="L56" s="31">
        <f>'октябрь 2014г. по 6-10'!L56+'октябрь 2014г. по 0,4'!L53</f>
        <v>0</v>
      </c>
      <c r="M56" s="31">
        <f>'октябрь 2014г. по 6-10'!M56+'октябрь 2014г. по 0,4'!M53</f>
        <v>0</v>
      </c>
      <c r="N56" s="31">
        <f>'октябрь 2014г. по 6-10'!N56+'октябрь 2014г. по 0,4'!N53</f>
        <v>0</v>
      </c>
      <c r="O56" s="31">
        <f>'октябрь 2014г. по 6-10'!O56+'октябрь 2014г. по 0,4'!O53</f>
        <v>0</v>
      </c>
      <c r="P56" s="31">
        <f>'октябрь 2014г. по 6-10'!P56+'октябрь 2014г. по 0,4'!P53</f>
        <v>0</v>
      </c>
      <c r="Q56" s="31">
        <f>'октябрь 2014г. по 6-10'!Q56+'октябрь 2014г. по 0,4'!Q53</f>
        <v>0</v>
      </c>
    </row>
    <row r="57" spans="1:17" ht="12.75" customHeight="1" x14ac:dyDescent="0.2">
      <c r="A57" s="18"/>
      <c r="B57" s="18"/>
      <c r="C57" s="18" t="s">
        <v>340</v>
      </c>
      <c r="D57" s="31">
        <f>'октябрь 2014г. по 6-10'!D57+'октябрь 2014г. по 0,4'!D54</f>
        <v>3</v>
      </c>
      <c r="E57" s="31">
        <f>'октябрь 2014г. по 6-10'!E57+'октябрь 2014г. по 0,4'!E54</f>
        <v>155</v>
      </c>
      <c r="F57" s="31">
        <f>'октябрь 2014г. по 6-10'!F57+'октябрь 2014г. по 0,4'!F54</f>
        <v>3</v>
      </c>
      <c r="G57" s="31">
        <f>'октябрь 2014г. по 6-10'!G57+'октябрь 2014г. по 0,4'!G54</f>
        <v>145</v>
      </c>
      <c r="H57" s="31">
        <f>'октябрь 2014г. по 6-10'!H57+'октябрь 2014г. по 0,4'!H54</f>
        <v>0</v>
      </c>
      <c r="I57" s="31">
        <f>'октябрь 2014г. по 6-10'!I57+'октябрь 2014г. по 0,4'!I54</f>
        <v>0</v>
      </c>
      <c r="J57" s="31">
        <f>'октябрь 2014г. по 6-10'!J57+'октябрь 2014г. по 0,4'!J54</f>
        <v>16</v>
      </c>
      <c r="K57" s="31">
        <f>'октябрь 2014г. по 6-10'!K57+'октябрь 2014г. по 0,4'!K54</f>
        <v>78</v>
      </c>
      <c r="L57" s="31">
        <f>'октябрь 2014г. по 6-10'!L57+'октябрь 2014г. по 0,4'!L54</f>
        <v>0</v>
      </c>
      <c r="M57" s="31">
        <f>'октябрь 2014г. по 6-10'!M57+'октябрь 2014г. по 0,4'!M54</f>
        <v>0</v>
      </c>
      <c r="N57" s="31">
        <f>'октябрь 2014г. по 6-10'!N57+'октябрь 2014г. по 0,4'!N54</f>
        <v>0</v>
      </c>
      <c r="O57" s="31">
        <f>'октябрь 2014г. по 6-10'!O57+'октябрь 2014г. по 0,4'!O54</f>
        <v>0</v>
      </c>
      <c r="P57" s="31">
        <f>'октябрь 2014г. по 6-10'!P57+'октябрь 2014г. по 0,4'!P54</f>
        <v>0</v>
      </c>
      <c r="Q57" s="31">
        <f>'октябрь 2014г. по 6-10'!Q57+'октябрь 2014г. по 0,4'!Q54</f>
        <v>0</v>
      </c>
    </row>
    <row r="58" spans="1:17" ht="12.75" customHeight="1" x14ac:dyDescent="0.2">
      <c r="A58" s="18"/>
      <c r="B58" s="18"/>
      <c r="C58" s="18" t="s">
        <v>341</v>
      </c>
      <c r="D58" s="31">
        <f>'октябрь 2014г. по 6-10'!D58+'октябрь 2014г. по 0,4'!D55</f>
        <v>19</v>
      </c>
      <c r="E58" s="31">
        <f>'октябрь 2014г. по 6-10'!E58+'октябрь 2014г. по 0,4'!E55</f>
        <v>677</v>
      </c>
      <c r="F58" s="31">
        <f>'октябрь 2014г. по 6-10'!F58+'октябрь 2014г. по 0,4'!F55</f>
        <v>13</v>
      </c>
      <c r="G58" s="31">
        <f>'октябрь 2014г. по 6-10'!G58+'октябрь 2014г. по 0,4'!G55</f>
        <v>273</v>
      </c>
      <c r="H58" s="31">
        <f>'октябрь 2014г. по 6-10'!H58+'октябрь 2014г. по 0,4'!H55</f>
        <v>0</v>
      </c>
      <c r="I58" s="31">
        <f>'октябрь 2014г. по 6-10'!I58+'октябрь 2014г. по 0,4'!I55</f>
        <v>0</v>
      </c>
      <c r="J58" s="31">
        <f>'октябрь 2014г. по 6-10'!J58+'октябрь 2014г. по 0,4'!J55</f>
        <v>2</v>
      </c>
      <c r="K58" s="31">
        <f>'октябрь 2014г. по 6-10'!K58+'октябрь 2014г. по 0,4'!K55</f>
        <v>20</v>
      </c>
      <c r="L58" s="31">
        <f>'октябрь 2014г. по 6-10'!L58+'октябрь 2014г. по 0,4'!L55</f>
        <v>0</v>
      </c>
      <c r="M58" s="31">
        <f>'октябрь 2014г. по 6-10'!M58+'октябрь 2014г. по 0,4'!M55</f>
        <v>0</v>
      </c>
      <c r="N58" s="31">
        <f>'октябрь 2014г. по 6-10'!N58+'октябрь 2014г. по 0,4'!N55</f>
        <v>0</v>
      </c>
      <c r="O58" s="31">
        <f>'октябрь 2014г. по 6-10'!O58+'октябрь 2014г. по 0,4'!O55</f>
        <v>0</v>
      </c>
      <c r="P58" s="31">
        <f>'октябрь 2014г. по 6-10'!P58+'октябрь 2014г. по 0,4'!P55</f>
        <v>0</v>
      </c>
      <c r="Q58" s="31">
        <f>'октябрь 2014г. по 6-10'!Q58+'октябрь 2014г. по 0,4'!Q55</f>
        <v>0</v>
      </c>
    </row>
    <row r="59" spans="1:17" ht="12.75" customHeight="1" x14ac:dyDescent="0.2">
      <c r="A59" s="18"/>
      <c r="B59" s="18"/>
      <c r="C59" s="18" t="s">
        <v>342</v>
      </c>
      <c r="D59" s="31">
        <f>'октябрь 2014г. по 6-10'!D59+'октябрь 2014г. по 0,4'!D56</f>
        <v>13</v>
      </c>
      <c r="E59" s="31">
        <f>'октябрь 2014г. по 6-10'!E59+'октябрь 2014г. по 0,4'!E56</f>
        <v>246</v>
      </c>
      <c r="F59" s="31">
        <f>'октябрь 2014г. по 6-10'!F59+'октябрь 2014г. по 0,4'!F56</f>
        <v>2</v>
      </c>
      <c r="G59" s="31">
        <f>'октябрь 2014г. по 6-10'!G59+'октябрь 2014г. по 0,4'!G56</f>
        <v>10</v>
      </c>
      <c r="H59" s="31">
        <f>'октябрь 2014г. по 6-10'!H59+'октябрь 2014г. по 0,4'!H56</f>
        <v>0</v>
      </c>
      <c r="I59" s="31">
        <f>'октябрь 2014г. по 6-10'!I59+'октябрь 2014г. по 0,4'!I56</f>
        <v>0</v>
      </c>
      <c r="J59" s="31">
        <f>'октябрь 2014г. по 6-10'!J59+'октябрь 2014г. по 0,4'!J56</f>
        <v>1</v>
      </c>
      <c r="K59" s="31">
        <f>'октябрь 2014г. по 6-10'!K59+'октябрь 2014г. по 0,4'!K56</f>
        <v>5</v>
      </c>
      <c r="L59" s="31">
        <f>'октябрь 2014г. по 6-10'!L59+'октябрь 2014г. по 0,4'!L56</f>
        <v>0</v>
      </c>
      <c r="M59" s="31">
        <f>'октябрь 2014г. по 6-10'!M59+'октябрь 2014г. по 0,4'!M56</f>
        <v>0</v>
      </c>
      <c r="N59" s="31">
        <f>'октябрь 2014г. по 6-10'!N59+'октябрь 2014г. по 0,4'!N56</f>
        <v>0</v>
      </c>
      <c r="O59" s="31">
        <f>'октябрь 2014г. по 6-10'!O59+'октябрь 2014г. по 0,4'!O56</f>
        <v>0</v>
      </c>
      <c r="P59" s="31">
        <f>'октябрь 2014г. по 6-10'!P59+'октябрь 2014г. по 0,4'!P56</f>
        <v>0</v>
      </c>
      <c r="Q59" s="31">
        <f>'октябрь 2014г. по 6-10'!Q59+'октябрь 2014г. по 0,4'!Q56</f>
        <v>0</v>
      </c>
    </row>
    <row r="60" spans="1:17" ht="12.75" customHeight="1" x14ac:dyDescent="0.2">
      <c r="A60" s="18"/>
      <c r="B60" s="18"/>
      <c r="C60" s="18" t="s">
        <v>343</v>
      </c>
      <c r="D60" s="31">
        <f>'октябрь 2014г. по 6-10'!D60+'октябрь 2014г. по 0,4'!D57</f>
        <v>11</v>
      </c>
      <c r="E60" s="31">
        <f>'октябрь 2014г. по 6-10'!E60+'октябрь 2014г. по 0,4'!E57</f>
        <v>277</v>
      </c>
      <c r="F60" s="31">
        <f>'октябрь 2014г. по 6-10'!F60+'октябрь 2014г. по 0,4'!F57</f>
        <v>3</v>
      </c>
      <c r="G60" s="31">
        <f>'октябрь 2014г. по 6-10'!G60+'октябрь 2014г. по 0,4'!G57</f>
        <v>190</v>
      </c>
      <c r="H60" s="31">
        <f>'октябрь 2014г. по 6-10'!H60+'октябрь 2014г. по 0,4'!H57</f>
        <v>0</v>
      </c>
      <c r="I60" s="31">
        <f>'октябрь 2014г. по 6-10'!I60+'октябрь 2014г. по 0,4'!I57</f>
        <v>0</v>
      </c>
      <c r="J60" s="31">
        <f>'октябрь 2014г. по 6-10'!J60+'октябрь 2014г. по 0,4'!J57</f>
        <v>34</v>
      </c>
      <c r="K60" s="31">
        <f>'октябрь 2014г. по 6-10'!K60+'октябрь 2014г. по 0,4'!K57</f>
        <v>245</v>
      </c>
      <c r="L60" s="31">
        <f>'октябрь 2014г. по 6-10'!L60+'октябрь 2014г. по 0,4'!L57</f>
        <v>0</v>
      </c>
      <c r="M60" s="31">
        <f>'октябрь 2014г. по 6-10'!M60+'октябрь 2014г. по 0,4'!M57</f>
        <v>0</v>
      </c>
      <c r="N60" s="31">
        <f>'октябрь 2014г. по 6-10'!N60+'октябрь 2014г. по 0,4'!N57</f>
        <v>0</v>
      </c>
      <c r="O60" s="31">
        <f>'октябрь 2014г. по 6-10'!O60+'октябрь 2014г. по 0,4'!O57</f>
        <v>0</v>
      </c>
      <c r="P60" s="31">
        <f>'октябрь 2014г. по 6-10'!P60+'октябрь 2014г. по 0,4'!P57</f>
        <v>0</v>
      </c>
      <c r="Q60" s="31">
        <f>'октябрь 2014г. по 6-10'!Q60+'октябрь 2014г. по 0,4'!Q57</f>
        <v>0</v>
      </c>
    </row>
    <row r="61" spans="1:17" ht="12.75" customHeight="1" x14ac:dyDescent="0.2">
      <c r="A61" s="18"/>
      <c r="B61" s="18"/>
      <c r="C61" s="18" t="s">
        <v>344</v>
      </c>
      <c r="D61" s="31">
        <f>'октябрь 2014г. по 6-10'!D61+'октябрь 2014г. по 0,4'!D58</f>
        <v>0</v>
      </c>
      <c r="E61" s="31">
        <f>'октябрь 2014г. по 6-10'!E61+'октябрь 2014г. по 0,4'!E58</f>
        <v>0</v>
      </c>
      <c r="F61" s="31">
        <f>'октябрь 2014г. по 6-10'!F61+'октябрь 2014г. по 0,4'!F58</f>
        <v>0</v>
      </c>
      <c r="G61" s="31">
        <f>'октябрь 2014г. по 6-10'!G61+'октябрь 2014г. по 0,4'!G58</f>
        <v>0</v>
      </c>
      <c r="H61" s="31">
        <f>'октябрь 2014г. по 6-10'!H61+'октябрь 2014г. по 0,4'!H58</f>
        <v>0</v>
      </c>
      <c r="I61" s="31">
        <f>'октябрь 2014г. по 6-10'!I61+'октябрь 2014г. по 0,4'!I58</f>
        <v>0</v>
      </c>
      <c r="J61" s="31">
        <f>'октябрь 2014г. по 6-10'!J61+'октябрь 2014г. по 0,4'!J58</f>
        <v>0</v>
      </c>
      <c r="K61" s="31">
        <f>'октябрь 2014г. по 6-10'!K61+'октябрь 2014г. по 0,4'!K58</f>
        <v>0</v>
      </c>
      <c r="L61" s="31">
        <f>'октябрь 2014г. по 6-10'!L61+'октябрь 2014г. по 0,4'!L58</f>
        <v>0</v>
      </c>
      <c r="M61" s="31">
        <f>'октябрь 2014г. по 6-10'!M61+'октябрь 2014г. по 0,4'!M58</f>
        <v>0</v>
      </c>
      <c r="N61" s="31">
        <f>'октябрь 2014г. по 6-10'!N61+'октябрь 2014г. по 0,4'!N58</f>
        <v>0</v>
      </c>
      <c r="O61" s="31">
        <f>'октябрь 2014г. по 6-10'!O61+'октябрь 2014г. по 0,4'!O58</f>
        <v>0</v>
      </c>
      <c r="P61" s="31">
        <f>'октябрь 2014г. по 6-10'!P61+'октябрь 2014г. по 0,4'!P58</f>
        <v>0</v>
      </c>
      <c r="Q61" s="31">
        <f>'октябрь 2014г. по 6-10'!Q61+'октябрь 2014г. по 0,4'!Q58</f>
        <v>0</v>
      </c>
    </row>
    <row r="62" spans="1:17" ht="12.75" customHeight="1" x14ac:dyDescent="0.2">
      <c r="A62" s="18"/>
      <c r="B62" s="18"/>
      <c r="C62" s="18" t="s">
        <v>345</v>
      </c>
      <c r="D62" s="31">
        <f>'октябрь 2014г. по 6-10'!D62+'октябрь 2014г. по 0,4'!D59</f>
        <v>2</v>
      </c>
      <c r="E62" s="31">
        <f>'октябрь 2014г. по 6-10'!E62+'октябрь 2014г. по 0,4'!E59</f>
        <v>15</v>
      </c>
      <c r="F62" s="31">
        <f>'октябрь 2014г. по 6-10'!F62+'октябрь 2014г. по 0,4'!F59</f>
        <v>2</v>
      </c>
      <c r="G62" s="31">
        <f>'октябрь 2014г. по 6-10'!G62+'октябрь 2014г. по 0,4'!G59</f>
        <v>15</v>
      </c>
      <c r="H62" s="31">
        <f>'октябрь 2014г. по 6-10'!H62+'октябрь 2014г. по 0,4'!H59</f>
        <v>0</v>
      </c>
      <c r="I62" s="31">
        <f>'октябрь 2014г. по 6-10'!I62+'октябрь 2014г. по 0,4'!I59</f>
        <v>0</v>
      </c>
      <c r="J62" s="31">
        <f>'октябрь 2014г. по 6-10'!J62+'октябрь 2014г. по 0,4'!J59</f>
        <v>0</v>
      </c>
      <c r="K62" s="31">
        <f>'октябрь 2014г. по 6-10'!K62+'октябрь 2014г. по 0,4'!K59</f>
        <v>0</v>
      </c>
      <c r="L62" s="31">
        <f>'октябрь 2014г. по 6-10'!L62+'октябрь 2014г. по 0,4'!L59</f>
        <v>0</v>
      </c>
      <c r="M62" s="31">
        <f>'октябрь 2014г. по 6-10'!M62+'октябрь 2014г. по 0,4'!M59</f>
        <v>0</v>
      </c>
      <c r="N62" s="31">
        <f>'октябрь 2014г. по 6-10'!N62+'октябрь 2014г. по 0,4'!N59</f>
        <v>0</v>
      </c>
      <c r="O62" s="31">
        <f>'октябрь 2014г. по 6-10'!O62+'октябрь 2014г. по 0,4'!O59</f>
        <v>0</v>
      </c>
      <c r="P62" s="31">
        <f>'октябрь 2014г. по 6-10'!P62+'октябрь 2014г. по 0,4'!P59</f>
        <v>0</v>
      </c>
      <c r="Q62" s="31">
        <f>'октябрь 2014г. по 6-10'!Q62+'октябрь 2014г. по 0,4'!Q59</f>
        <v>0</v>
      </c>
    </row>
    <row r="63" spans="1:17" ht="12.75" customHeight="1" x14ac:dyDescent="0.2">
      <c r="A63" s="18"/>
      <c r="B63" s="18"/>
      <c r="C63" s="18" t="s">
        <v>362</v>
      </c>
      <c r="D63" s="31">
        <f>'октябрь 2014г. по 6-10'!D63+'октябрь 2014г. по 0,4'!D60</f>
        <v>5</v>
      </c>
      <c r="E63" s="31">
        <f>'октябрь 2014г. по 6-10'!E63+'октябрь 2014г. по 0,4'!E60</f>
        <v>785</v>
      </c>
      <c r="F63" s="31">
        <f>'октябрь 2014г. по 6-10'!F63+'октябрь 2014г. по 0,4'!F60</f>
        <v>3</v>
      </c>
      <c r="G63" s="31">
        <f>'октябрь 2014г. по 6-10'!G63+'октябрь 2014г. по 0,4'!G60</f>
        <v>385</v>
      </c>
      <c r="H63" s="31">
        <f>'октябрь 2014г. по 6-10'!H63+'октябрь 2014г. по 0,4'!H60</f>
        <v>0</v>
      </c>
      <c r="I63" s="31">
        <f>'октябрь 2014г. по 6-10'!I63+'октябрь 2014г. по 0,4'!I60</f>
        <v>0</v>
      </c>
      <c r="J63" s="31">
        <f>'октябрь 2014г. по 6-10'!J63+'октябрь 2014г. по 0,4'!J60</f>
        <v>0</v>
      </c>
      <c r="K63" s="31">
        <f>'октябрь 2014г. по 6-10'!K63+'октябрь 2014г. по 0,4'!K60</f>
        <v>0</v>
      </c>
      <c r="L63" s="31">
        <f>'октябрь 2014г. по 6-10'!L63+'октябрь 2014г. по 0,4'!L60</f>
        <v>0</v>
      </c>
      <c r="M63" s="31">
        <f>'октябрь 2014г. по 6-10'!M63+'октябрь 2014г. по 0,4'!M60</f>
        <v>0</v>
      </c>
      <c r="N63" s="31">
        <f>'октябрь 2014г. по 6-10'!N63+'октябрь 2014г. по 0,4'!N60</f>
        <v>0</v>
      </c>
      <c r="O63" s="31">
        <f>'октябрь 2014г. по 6-10'!O63+'октябрь 2014г. по 0,4'!O60</f>
        <v>0</v>
      </c>
      <c r="P63" s="31">
        <f>'октябрь 2014г. по 6-10'!P63+'октябрь 2014г. по 0,4'!P60</f>
        <v>0</v>
      </c>
      <c r="Q63" s="31">
        <f>'октябрь 2014г. по 6-10'!Q63+'октябрь 2014г. по 0,4'!Q60</f>
        <v>0</v>
      </c>
    </row>
    <row r="64" spans="1:17" ht="17.25" customHeight="1" x14ac:dyDescent="0.2">
      <c r="A64" s="18"/>
      <c r="B64" s="18"/>
      <c r="C64" s="20" t="s">
        <v>30</v>
      </c>
      <c r="D64" s="88">
        <f t="shared" ref="D64:Q64" si="0">SUM(D23:D63)</f>
        <v>618</v>
      </c>
      <c r="E64" s="88">
        <f t="shared" si="0"/>
        <v>27030.999999999996</v>
      </c>
      <c r="F64" s="88">
        <f t="shared" si="0"/>
        <v>443</v>
      </c>
      <c r="G64" s="88">
        <f t="shared" si="0"/>
        <v>14392.2</v>
      </c>
      <c r="H64" s="88">
        <f t="shared" si="0"/>
        <v>0</v>
      </c>
      <c r="I64" s="88">
        <f t="shared" si="0"/>
        <v>0</v>
      </c>
      <c r="J64" s="88">
        <f t="shared" si="0"/>
        <v>773</v>
      </c>
      <c r="K64" s="88">
        <f t="shared" si="0"/>
        <v>8350</v>
      </c>
      <c r="L64" s="88">
        <f t="shared" si="0"/>
        <v>0</v>
      </c>
      <c r="M64" s="88">
        <f t="shared" si="0"/>
        <v>0</v>
      </c>
      <c r="N64" s="88">
        <f t="shared" si="0"/>
        <v>0</v>
      </c>
      <c r="O64" s="88">
        <f t="shared" si="0"/>
        <v>0</v>
      </c>
      <c r="P64" s="88">
        <f t="shared" si="0"/>
        <v>0</v>
      </c>
      <c r="Q64" s="88">
        <f t="shared" si="0"/>
        <v>0</v>
      </c>
    </row>
    <row r="65" spans="1:17" ht="15" x14ac:dyDescent="0.25">
      <c r="A65" s="18"/>
      <c r="B65" s="18"/>
      <c r="C65" s="52" t="s">
        <v>148</v>
      </c>
      <c r="D65" s="46"/>
      <c r="E65" s="31"/>
      <c r="F65" s="31"/>
      <c r="G65" s="31"/>
      <c r="H65" s="24"/>
      <c r="I65" s="24"/>
      <c r="J65" s="31"/>
      <c r="K65" s="31"/>
      <c r="L65" s="8"/>
      <c r="M65" s="8"/>
      <c r="N65" s="8"/>
      <c r="O65" s="8"/>
      <c r="P65" s="8"/>
      <c r="Q65" s="8"/>
    </row>
    <row r="66" spans="1:17" ht="12.75" customHeight="1" x14ac:dyDescent="0.2">
      <c r="A66" s="18"/>
      <c r="B66" s="53"/>
      <c r="C66" s="18" t="s">
        <v>350</v>
      </c>
      <c r="D66" s="31">
        <f>'октябрь 2014г. по 6-10'!D66+'октябрь 2014г. по 0,4'!D63</f>
        <v>72</v>
      </c>
      <c r="E66" s="31">
        <f>'октябрь 2014г. по 6-10'!E66+'октябрь 2014г. по 0,4'!E63</f>
        <v>1361</v>
      </c>
      <c r="F66" s="31">
        <f>'октябрь 2014г. по 6-10'!F66+'октябрь 2014г. по 0,4'!F63</f>
        <v>71</v>
      </c>
      <c r="G66" s="31">
        <f>'октябрь 2014г. по 6-10'!G66+'октябрь 2014г. по 0,4'!G63</f>
        <v>860</v>
      </c>
      <c r="H66" s="31">
        <f>'октябрь 2014г. по 6-10'!H66+'октябрь 2014г. по 0,4'!H63</f>
        <v>0</v>
      </c>
      <c r="I66" s="31">
        <f>'октябрь 2014г. по 6-10'!I66+'октябрь 2014г. по 0,4'!I63</f>
        <v>0</v>
      </c>
      <c r="J66" s="31">
        <f>'октябрь 2014г. по 6-10'!J66+'октябрь 2014г. по 0,4'!J63</f>
        <v>54</v>
      </c>
      <c r="K66" s="31">
        <f>'октябрь 2014г. по 6-10'!K66+'октябрь 2014г. по 0,4'!K63</f>
        <v>1130</v>
      </c>
      <c r="L66" s="31">
        <f>'октябрь 2014г. по 6-10'!L66+'октябрь 2014г. по 0,4'!L63</f>
        <v>0</v>
      </c>
      <c r="M66" s="31">
        <f>'октябрь 2014г. по 6-10'!M66+'октябрь 2014г. по 0,4'!M63</f>
        <v>0</v>
      </c>
      <c r="N66" s="31">
        <f>'октябрь 2014г. по 6-10'!N66+'октябрь 2014г. по 0,4'!N63</f>
        <v>0</v>
      </c>
      <c r="O66" s="31">
        <f>'октябрь 2014г. по 6-10'!O66+'октябрь 2014г. по 0,4'!O63</f>
        <v>0</v>
      </c>
      <c r="P66" s="31">
        <f>'октябрь 2014г. по 6-10'!P66+'октябрь 2014г. по 0,4'!P63</f>
        <v>0</v>
      </c>
      <c r="Q66" s="31">
        <f>'октябрь 2014г. по 6-10'!Q66+'октябрь 2014г. по 0,4'!Q63</f>
        <v>0</v>
      </c>
    </row>
    <row r="67" spans="1:17" ht="12.75" customHeight="1" x14ac:dyDescent="0.2">
      <c r="A67" s="18"/>
      <c r="B67" s="53"/>
      <c r="C67" s="18" t="s">
        <v>149</v>
      </c>
      <c r="D67" s="31">
        <f>'октябрь 2014г. по 6-10'!D67+'октябрь 2014г. по 0,4'!D64</f>
        <v>50</v>
      </c>
      <c r="E67" s="31">
        <f>'октябрь 2014г. по 6-10'!E67+'октябрь 2014г. по 0,4'!E64</f>
        <v>1760.5</v>
      </c>
      <c r="F67" s="31">
        <f>'октябрь 2014г. по 6-10'!F67+'октябрь 2014г. по 0,4'!F64</f>
        <v>44</v>
      </c>
      <c r="G67" s="31">
        <f>'октябрь 2014г. по 6-10'!G67+'октябрь 2014г. по 0,4'!G64</f>
        <v>710.5</v>
      </c>
      <c r="H67" s="31">
        <f>'октябрь 2014г. по 6-10'!H67+'октябрь 2014г. по 0,4'!H64</f>
        <v>0</v>
      </c>
      <c r="I67" s="31">
        <f>'октябрь 2014г. по 6-10'!I67+'октябрь 2014г. по 0,4'!I64</f>
        <v>0</v>
      </c>
      <c r="J67" s="31">
        <f>'октябрь 2014г. по 6-10'!J67+'октябрь 2014г. по 0,4'!J64</f>
        <v>40</v>
      </c>
      <c r="K67" s="31">
        <f>'октябрь 2014г. по 6-10'!K67+'октябрь 2014г. по 0,4'!K64</f>
        <v>1040</v>
      </c>
      <c r="L67" s="31">
        <f>'октябрь 2014г. по 6-10'!L67+'октябрь 2014г. по 0,4'!L64</f>
        <v>0</v>
      </c>
      <c r="M67" s="31">
        <f>'октябрь 2014г. по 6-10'!M67+'октябрь 2014г. по 0,4'!M64</f>
        <v>0</v>
      </c>
      <c r="N67" s="31">
        <f>'октябрь 2014г. по 6-10'!N67+'октябрь 2014г. по 0,4'!N64</f>
        <v>0</v>
      </c>
      <c r="O67" s="31">
        <f>'октябрь 2014г. по 6-10'!O67+'октябрь 2014г. по 0,4'!O64</f>
        <v>0</v>
      </c>
      <c r="P67" s="31">
        <f>'октябрь 2014г. по 6-10'!P67+'октябрь 2014г. по 0,4'!P64</f>
        <v>0</v>
      </c>
      <c r="Q67" s="31">
        <f>'октябрь 2014г. по 6-10'!Q67+'октябрь 2014г. по 0,4'!Q64</f>
        <v>0</v>
      </c>
    </row>
    <row r="68" spans="1:17" ht="12.75" customHeight="1" x14ac:dyDescent="0.2">
      <c r="A68" s="18"/>
      <c r="B68" s="53"/>
      <c r="C68" s="18" t="s">
        <v>150</v>
      </c>
      <c r="D68" s="31">
        <f>'октябрь 2014г. по 6-10'!D68+'октябрь 2014г. по 0,4'!D65</f>
        <v>8</v>
      </c>
      <c r="E68" s="31">
        <f>'октябрь 2014г. по 6-10'!E68+'октябрь 2014г. по 0,4'!E65</f>
        <v>619.5</v>
      </c>
      <c r="F68" s="31">
        <f>'октябрь 2014г. по 6-10'!F68+'октябрь 2014г. по 0,4'!F65</f>
        <v>8</v>
      </c>
      <c r="G68" s="31">
        <f>'октябрь 2014г. по 6-10'!G68+'октябрь 2014г. по 0,4'!G65</f>
        <v>119.5</v>
      </c>
      <c r="H68" s="31">
        <f>'октябрь 2014г. по 6-10'!H68+'октябрь 2014г. по 0,4'!H65</f>
        <v>0</v>
      </c>
      <c r="I68" s="31">
        <f>'октябрь 2014г. по 6-10'!I68+'октябрь 2014г. по 0,4'!I65</f>
        <v>0</v>
      </c>
      <c r="J68" s="31">
        <f>'октябрь 2014г. по 6-10'!J68+'октябрь 2014г. по 0,4'!J65</f>
        <v>4</v>
      </c>
      <c r="K68" s="31">
        <f>'октябрь 2014г. по 6-10'!K68+'октябрь 2014г. по 0,4'!K65</f>
        <v>10</v>
      </c>
      <c r="L68" s="31">
        <f>'октябрь 2014г. по 6-10'!L68+'октябрь 2014г. по 0,4'!L65</f>
        <v>0</v>
      </c>
      <c r="M68" s="31">
        <f>'октябрь 2014г. по 6-10'!M68+'октябрь 2014г. по 0,4'!M65</f>
        <v>0</v>
      </c>
      <c r="N68" s="31">
        <f>'октябрь 2014г. по 6-10'!N68+'октябрь 2014г. по 0,4'!N65</f>
        <v>0</v>
      </c>
      <c r="O68" s="31">
        <f>'октябрь 2014г. по 6-10'!O68+'октябрь 2014г. по 0,4'!O65</f>
        <v>0</v>
      </c>
      <c r="P68" s="31">
        <f>'октябрь 2014г. по 6-10'!P68+'октябрь 2014г. по 0,4'!P65</f>
        <v>0</v>
      </c>
      <c r="Q68" s="31">
        <f>'октябрь 2014г. по 6-10'!Q68+'октябрь 2014г. по 0,4'!Q65</f>
        <v>0</v>
      </c>
    </row>
    <row r="69" spans="1:17" ht="12.75" customHeight="1" x14ac:dyDescent="0.2">
      <c r="A69" s="18"/>
      <c r="B69" s="53"/>
      <c r="C69" s="18" t="s">
        <v>151</v>
      </c>
      <c r="D69" s="31">
        <f>'октябрь 2014г. по 6-10'!D69+'октябрь 2014г. по 0,4'!D66</f>
        <v>2</v>
      </c>
      <c r="E69" s="31">
        <f>'октябрь 2014г. по 6-10'!E69+'октябрь 2014г. по 0,4'!E66</f>
        <v>125</v>
      </c>
      <c r="F69" s="31">
        <f>'октябрь 2014г. по 6-10'!F69+'октябрь 2014г. по 0,4'!F66</f>
        <v>2</v>
      </c>
      <c r="G69" s="31">
        <f>'октябрь 2014г. по 6-10'!G69+'октябрь 2014г. по 0,4'!G66</f>
        <v>25</v>
      </c>
      <c r="H69" s="31">
        <f>'октябрь 2014г. по 6-10'!H69+'октябрь 2014г. по 0,4'!H66</f>
        <v>0</v>
      </c>
      <c r="I69" s="31">
        <f>'октябрь 2014г. по 6-10'!I69+'октябрь 2014г. по 0,4'!I66</f>
        <v>0</v>
      </c>
      <c r="J69" s="31">
        <f>'октябрь 2014г. по 6-10'!J69+'октябрь 2014г. по 0,4'!J66</f>
        <v>0</v>
      </c>
      <c r="K69" s="31">
        <f>'октябрь 2014г. по 6-10'!K69+'октябрь 2014г. по 0,4'!K66</f>
        <v>0</v>
      </c>
      <c r="L69" s="31">
        <f>'октябрь 2014г. по 6-10'!L69+'октябрь 2014г. по 0,4'!L66</f>
        <v>0</v>
      </c>
      <c r="M69" s="31">
        <f>'октябрь 2014г. по 6-10'!M69+'октябрь 2014г. по 0,4'!M66</f>
        <v>0</v>
      </c>
      <c r="N69" s="31">
        <f>'октябрь 2014г. по 6-10'!N69+'октябрь 2014г. по 0,4'!N66</f>
        <v>0</v>
      </c>
      <c r="O69" s="31">
        <f>'октябрь 2014г. по 6-10'!O69+'октябрь 2014г. по 0,4'!O66</f>
        <v>0</v>
      </c>
      <c r="P69" s="31">
        <f>'октябрь 2014г. по 6-10'!P69+'октябрь 2014г. по 0,4'!P66</f>
        <v>0</v>
      </c>
      <c r="Q69" s="31">
        <f>'октябрь 2014г. по 6-10'!Q69+'октябрь 2014г. по 0,4'!Q66</f>
        <v>0</v>
      </c>
    </row>
    <row r="70" spans="1:17" ht="12.75" customHeight="1" x14ac:dyDescent="0.2">
      <c r="A70" s="18"/>
      <c r="B70" s="53"/>
      <c r="C70" s="18" t="s">
        <v>152</v>
      </c>
      <c r="D70" s="31">
        <f>'октябрь 2014г. по 6-10'!D70+'октябрь 2014г. по 0,4'!D67</f>
        <v>13</v>
      </c>
      <c r="E70" s="31">
        <f>'октябрь 2014г. по 6-10'!E70+'октябрь 2014г. по 0,4'!E67</f>
        <v>756</v>
      </c>
      <c r="F70" s="31">
        <f>'октябрь 2014г. по 6-10'!F70+'октябрь 2014г. по 0,4'!F67</f>
        <v>8</v>
      </c>
      <c r="G70" s="31">
        <f>'октябрь 2014г. по 6-10'!G70+'октябрь 2014г. по 0,4'!G67</f>
        <v>138</v>
      </c>
      <c r="H70" s="31">
        <f>'октябрь 2014г. по 6-10'!H70+'октябрь 2014г. по 0,4'!H67</f>
        <v>0</v>
      </c>
      <c r="I70" s="31">
        <f>'октябрь 2014г. по 6-10'!I70+'октябрь 2014г. по 0,4'!I67</f>
        <v>0</v>
      </c>
      <c r="J70" s="31">
        <f>'октябрь 2014г. по 6-10'!J70+'октябрь 2014г. по 0,4'!J67</f>
        <v>35</v>
      </c>
      <c r="K70" s="31">
        <f>'октябрь 2014г. по 6-10'!K70+'октябрь 2014г. по 0,4'!K67</f>
        <v>234</v>
      </c>
      <c r="L70" s="31">
        <f>'октябрь 2014г. по 6-10'!L70+'октябрь 2014г. по 0,4'!L67</f>
        <v>0</v>
      </c>
      <c r="M70" s="31">
        <f>'октябрь 2014г. по 6-10'!M70+'октябрь 2014г. по 0,4'!M67</f>
        <v>0</v>
      </c>
      <c r="N70" s="31">
        <f>'октябрь 2014г. по 6-10'!N70+'октябрь 2014г. по 0,4'!N67</f>
        <v>0</v>
      </c>
      <c r="O70" s="31">
        <f>'октябрь 2014г. по 6-10'!O70+'октябрь 2014г. по 0,4'!O67</f>
        <v>0</v>
      </c>
      <c r="P70" s="31">
        <f>'октябрь 2014г. по 6-10'!P70+'октябрь 2014г. по 0,4'!P67</f>
        <v>0</v>
      </c>
      <c r="Q70" s="31">
        <f>'октябрь 2014г. по 6-10'!Q70+'октябрь 2014г. по 0,4'!Q67</f>
        <v>0</v>
      </c>
    </row>
    <row r="71" spans="1:17" ht="12.75" customHeight="1" x14ac:dyDescent="0.2">
      <c r="A71" s="18"/>
      <c r="B71" s="53"/>
      <c r="C71" s="18" t="s">
        <v>351</v>
      </c>
      <c r="D71" s="31">
        <f>'октябрь 2014г. по 6-10'!D71+'октябрь 2014г. по 0,4'!D68</f>
        <v>1</v>
      </c>
      <c r="E71" s="31">
        <f>'октябрь 2014г. по 6-10'!E71+'октябрь 2014г. по 0,4'!E68</f>
        <v>10</v>
      </c>
      <c r="F71" s="31">
        <f>'октябрь 2014г. по 6-10'!F71+'октябрь 2014г. по 0,4'!F68</f>
        <v>1</v>
      </c>
      <c r="G71" s="31">
        <f>'октябрь 2014г. по 6-10'!G71+'октябрь 2014г. по 0,4'!G68</f>
        <v>10</v>
      </c>
      <c r="H71" s="31">
        <f>'октябрь 2014г. по 6-10'!H71+'октябрь 2014г. по 0,4'!H68</f>
        <v>0</v>
      </c>
      <c r="I71" s="31">
        <f>'октябрь 2014г. по 6-10'!I71+'октябрь 2014г. по 0,4'!I68</f>
        <v>0</v>
      </c>
      <c r="J71" s="31">
        <f>'октябрь 2014г. по 6-10'!J71+'октябрь 2014г. по 0,4'!J68</f>
        <v>0</v>
      </c>
      <c r="K71" s="31">
        <f>'октябрь 2014г. по 6-10'!K71+'октябрь 2014г. по 0,4'!K68</f>
        <v>0</v>
      </c>
      <c r="L71" s="31">
        <f>'октябрь 2014г. по 6-10'!L71+'октябрь 2014г. по 0,4'!L68</f>
        <v>0</v>
      </c>
      <c r="M71" s="31">
        <f>'октябрь 2014г. по 6-10'!M71+'октябрь 2014г. по 0,4'!M68</f>
        <v>0</v>
      </c>
      <c r="N71" s="31">
        <f>'октябрь 2014г. по 6-10'!N71+'октябрь 2014г. по 0,4'!N68</f>
        <v>0</v>
      </c>
      <c r="O71" s="31">
        <f>'октябрь 2014г. по 6-10'!O71+'октябрь 2014г. по 0,4'!O68</f>
        <v>0</v>
      </c>
      <c r="P71" s="31">
        <f>'октябрь 2014г. по 6-10'!P71+'октябрь 2014г. по 0,4'!P68</f>
        <v>0</v>
      </c>
      <c r="Q71" s="31">
        <f>'октябрь 2014г. по 6-10'!Q71+'октябрь 2014г. по 0,4'!Q68</f>
        <v>0</v>
      </c>
    </row>
    <row r="72" spans="1:17" ht="12.75" customHeight="1" x14ac:dyDescent="0.2">
      <c r="A72" s="18"/>
      <c r="B72" s="53"/>
      <c r="C72" s="18" t="s">
        <v>153</v>
      </c>
      <c r="D72" s="31">
        <f>'октябрь 2014г. по 6-10'!D72+'октябрь 2014г. по 0,4'!D69</f>
        <v>17</v>
      </c>
      <c r="E72" s="31">
        <f>'октябрь 2014г. по 6-10'!E72+'октябрь 2014г. по 0,4'!E69</f>
        <v>165</v>
      </c>
      <c r="F72" s="31">
        <f>'октябрь 2014г. по 6-10'!F72+'октябрь 2014г. по 0,4'!F69</f>
        <v>7</v>
      </c>
      <c r="G72" s="31">
        <f>'октябрь 2014г. по 6-10'!G72+'октябрь 2014г. по 0,4'!G69</f>
        <v>80</v>
      </c>
      <c r="H72" s="31">
        <f>'октябрь 2014г. по 6-10'!H72+'октябрь 2014г. по 0,4'!H69</f>
        <v>0</v>
      </c>
      <c r="I72" s="31">
        <f>'октябрь 2014г. по 6-10'!I72+'октябрь 2014г. по 0,4'!I69</f>
        <v>0</v>
      </c>
      <c r="J72" s="31">
        <f>'октябрь 2014г. по 6-10'!J72+'октябрь 2014г. по 0,4'!J69</f>
        <v>0</v>
      </c>
      <c r="K72" s="31">
        <f>'октябрь 2014г. по 6-10'!K72+'октябрь 2014г. по 0,4'!K69</f>
        <v>0</v>
      </c>
      <c r="L72" s="31">
        <f>'октябрь 2014г. по 6-10'!L72+'октябрь 2014г. по 0,4'!L69</f>
        <v>0</v>
      </c>
      <c r="M72" s="31">
        <f>'октябрь 2014г. по 6-10'!M72+'октябрь 2014г. по 0,4'!M69</f>
        <v>0</v>
      </c>
      <c r="N72" s="31">
        <f>'октябрь 2014г. по 6-10'!N72+'октябрь 2014г. по 0,4'!N69</f>
        <v>0</v>
      </c>
      <c r="O72" s="31">
        <f>'октябрь 2014г. по 6-10'!O72+'октябрь 2014г. по 0,4'!O69</f>
        <v>0</v>
      </c>
      <c r="P72" s="31">
        <f>'октябрь 2014г. по 6-10'!P72+'октябрь 2014г. по 0,4'!P69</f>
        <v>0</v>
      </c>
      <c r="Q72" s="31">
        <f>'октябрь 2014г. по 6-10'!Q72+'октябрь 2014г. по 0,4'!Q69</f>
        <v>0</v>
      </c>
    </row>
    <row r="73" spans="1:17" ht="12.75" customHeight="1" x14ac:dyDescent="0.2">
      <c r="A73" s="18"/>
      <c r="B73" s="53"/>
      <c r="C73" s="18" t="s">
        <v>155</v>
      </c>
      <c r="D73" s="31">
        <f>'октябрь 2014г. по 6-10'!D73+'октябрь 2014г. по 0,4'!D70</f>
        <v>1</v>
      </c>
      <c r="E73" s="31">
        <f>'октябрь 2014г. по 6-10'!E73+'октябрь 2014г. по 0,4'!E70</f>
        <v>15</v>
      </c>
      <c r="F73" s="31">
        <f>'октябрь 2014г. по 6-10'!F73+'октябрь 2014г. по 0,4'!F70</f>
        <v>1</v>
      </c>
      <c r="G73" s="31">
        <f>'октябрь 2014г. по 6-10'!G73+'октябрь 2014г. по 0,4'!G70</f>
        <v>15</v>
      </c>
      <c r="H73" s="31">
        <f>'октябрь 2014г. по 6-10'!H73+'октябрь 2014г. по 0,4'!H70</f>
        <v>0</v>
      </c>
      <c r="I73" s="31">
        <f>'октябрь 2014г. по 6-10'!I73+'октябрь 2014г. по 0,4'!I70</f>
        <v>0</v>
      </c>
      <c r="J73" s="31">
        <f>'октябрь 2014г. по 6-10'!J73+'октябрь 2014г. по 0,4'!J70</f>
        <v>0</v>
      </c>
      <c r="K73" s="31">
        <f>'октябрь 2014г. по 6-10'!K73+'октябрь 2014г. по 0,4'!K70</f>
        <v>0</v>
      </c>
      <c r="L73" s="31">
        <f>'октябрь 2014г. по 6-10'!L73+'октябрь 2014г. по 0,4'!L70</f>
        <v>0</v>
      </c>
      <c r="M73" s="31">
        <f>'октябрь 2014г. по 6-10'!M73+'октябрь 2014г. по 0,4'!M70</f>
        <v>0</v>
      </c>
      <c r="N73" s="31">
        <f>'октябрь 2014г. по 6-10'!N73+'октябрь 2014г. по 0,4'!N70</f>
        <v>0</v>
      </c>
      <c r="O73" s="31">
        <f>'октябрь 2014г. по 6-10'!O73+'октябрь 2014г. по 0,4'!O70</f>
        <v>0</v>
      </c>
      <c r="P73" s="31">
        <f>'октябрь 2014г. по 6-10'!P73+'октябрь 2014г. по 0,4'!P70</f>
        <v>0</v>
      </c>
      <c r="Q73" s="31">
        <f>'октябрь 2014г. по 6-10'!Q73+'октябрь 2014г. по 0,4'!Q70</f>
        <v>0</v>
      </c>
    </row>
    <row r="74" spans="1:17" ht="12.75" customHeight="1" x14ac:dyDescent="0.2">
      <c r="A74" s="18"/>
      <c r="B74" s="53"/>
      <c r="C74" s="18" t="s">
        <v>154</v>
      </c>
      <c r="D74" s="31">
        <f>'октябрь 2014г. по 6-10'!D74+'октябрь 2014г. по 0,4'!D71</f>
        <v>14</v>
      </c>
      <c r="E74" s="31">
        <f>'октябрь 2014г. по 6-10'!E74+'октябрь 2014г. по 0,4'!E71</f>
        <v>562</v>
      </c>
      <c r="F74" s="31">
        <f>'октябрь 2014г. по 6-10'!F74+'октябрь 2014г. по 0,4'!F71</f>
        <v>11</v>
      </c>
      <c r="G74" s="31">
        <f>'октябрь 2014г. по 6-10'!G74+'октябрь 2014г. по 0,4'!G71</f>
        <v>222</v>
      </c>
      <c r="H74" s="31">
        <f>'октябрь 2014г. по 6-10'!H74+'октябрь 2014г. по 0,4'!H71</f>
        <v>0</v>
      </c>
      <c r="I74" s="31">
        <f>'октябрь 2014г. по 6-10'!I74+'октябрь 2014г. по 0,4'!I71</f>
        <v>0</v>
      </c>
      <c r="J74" s="31">
        <f>'октябрь 2014г. по 6-10'!J74+'октябрь 2014г. по 0,4'!J71</f>
        <v>5</v>
      </c>
      <c r="K74" s="31">
        <f>'октябрь 2014г. по 6-10'!K74+'октябрь 2014г. по 0,4'!K71</f>
        <v>420</v>
      </c>
      <c r="L74" s="31">
        <f>'октябрь 2014г. по 6-10'!L74+'октябрь 2014г. по 0,4'!L71</f>
        <v>0</v>
      </c>
      <c r="M74" s="31">
        <f>'октябрь 2014г. по 6-10'!M74+'октябрь 2014г. по 0,4'!M71</f>
        <v>0</v>
      </c>
      <c r="N74" s="31">
        <f>'октябрь 2014г. по 6-10'!N74+'октябрь 2014г. по 0,4'!N71</f>
        <v>0</v>
      </c>
      <c r="O74" s="31">
        <f>'октябрь 2014г. по 6-10'!O74+'октябрь 2014г. по 0,4'!O71</f>
        <v>0</v>
      </c>
      <c r="P74" s="31">
        <f>'октябрь 2014г. по 6-10'!P74+'октябрь 2014г. по 0,4'!P71</f>
        <v>0</v>
      </c>
      <c r="Q74" s="31">
        <f>'октябрь 2014г. по 6-10'!Q74+'октябрь 2014г. по 0,4'!Q71</f>
        <v>0</v>
      </c>
    </row>
    <row r="75" spans="1:17" ht="12.75" customHeight="1" x14ac:dyDescent="0.2">
      <c r="A75" s="18"/>
      <c r="B75" s="53"/>
      <c r="C75" s="18" t="s">
        <v>147</v>
      </c>
      <c r="D75" s="31">
        <f>'октябрь 2014г. по 6-10'!D75+'октябрь 2014г. по 0,4'!D72</f>
        <v>1</v>
      </c>
      <c r="E75" s="31">
        <f>'октябрь 2014г. по 6-10'!E75+'октябрь 2014г. по 0,4'!E72</f>
        <v>6</v>
      </c>
      <c r="F75" s="31">
        <f>'октябрь 2014г. по 6-10'!F75+'октябрь 2014г. по 0,4'!F72</f>
        <v>1</v>
      </c>
      <c r="G75" s="31">
        <f>'октябрь 2014г. по 6-10'!G75+'октябрь 2014г. по 0,4'!G72</f>
        <v>6</v>
      </c>
      <c r="H75" s="31">
        <f>'октябрь 2014г. по 6-10'!H75+'октябрь 2014г. по 0,4'!H72</f>
        <v>0</v>
      </c>
      <c r="I75" s="31">
        <f>'октябрь 2014г. по 6-10'!I75+'октябрь 2014г. по 0,4'!I72</f>
        <v>0</v>
      </c>
      <c r="J75" s="31">
        <f>'октябрь 2014г. по 6-10'!J75+'октябрь 2014г. по 0,4'!J72</f>
        <v>0</v>
      </c>
      <c r="K75" s="31">
        <f>'октябрь 2014г. по 6-10'!K75+'октябрь 2014г. по 0,4'!K72</f>
        <v>0</v>
      </c>
      <c r="L75" s="31">
        <f>'октябрь 2014г. по 6-10'!L75+'октябрь 2014г. по 0,4'!L72</f>
        <v>0</v>
      </c>
      <c r="M75" s="31">
        <f>'октябрь 2014г. по 6-10'!M75+'октябрь 2014г. по 0,4'!M72</f>
        <v>0</v>
      </c>
      <c r="N75" s="31">
        <f>'октябрь 2014г. по 6-10'!N75+'октябрь 2014г. по 0,4'!N72</f>
        <v>0</v>
      </c>
      <c r="O75" s="31">
        <f>'октябрь 2014г. по 6-10'!O75+'октябрь 2014г. по 0,4'!O72</f>
        <v>0</v>
      </c>
      <c r="P75" s="31">
        <f>'октябрь 2014г. по 6-10'!P75+'октябрь 2014г. по 0,4'!P72</f>
        <v>0</v>
      </c>
      <c r="Q75" s="31">
        <f>'октябрь 2014г. по 6-10'!Q75+'октябрь 2014г. по 0,4'!Q72</f>
        <v>0</v>
      </c>
    </row>
    <row r="76" spans="1:17" ht="12.75" customHeight="1" x14ac:dyDescent="0.2">
      <c r="A76" s="18"/>
      <c r="B76" s="53"/>
      <c r="C76" s="18" t="s">
        <v>156</v>
      </c>
      <c r="D76" s="31">
        <f>'октябрь 2014г. по 6-10'!D76+'октябрь 2014г. по 0,4'!D73</f>
        <v>0</v>
      </c>
      <c r="E76" s="31">
        <f>'октябрь 2014г. по 6-10'!E76+'октябрь 2014г. по 0,4'!E73</f>
        <v>0</v>
      </c>
      <c r="F76" s="31">
        <f>'октябрь 2014г. по 6-10'!F76+'октябрь 2014г. по 0,4'!F73</f>
        <v>0</v>
      </c>
      <c r="G76" s="31">
        <f>'октябрь 2014г. по 6-10'!G76+'октябрь 2014г. по 0,4'!G73</f>
        <v>0</v>
      </c>
      <c r="H76" s="31">
        <f>'октябрь 2014г. по 6-10'!H76+'октябрь 2014г. по 0,4'!H73</f>
        <v>0</v>
      </c>
      <c r="I76" s="31">
        <f>'октябрь 2014г. по 6-10'!I76+'октябрь 2014г. по 0,4'!I73</f>
        <v>0</v>
      </c>
      <c r="J76" s="31">
        <f>'октябрь 2014г. по 6-10'!J76+'октябрь 2014г. по 0,4'!J73</f>
        <v>29</v>
      </c>
      <c r="K76" s="31">
        <f>'октябрь 2014г. по 6-10'!K76+'октябрь 2014г. по 0,4'!K73</f>
        <v>198</v>
      </c>
      <c r="L76" s="31">
        <f>'октябрь 2014г. по 6-10'!L76+'октябрь 2014г. по 0,4'!L73</f>
        <v>0</v>
      </c>
      <c r="M76" s="31">
        <f>'октябрь 2014г. по 6-10'!M76+'октябрь 2014г. по 0,4'!M73</f>
        <v>0</v>
      </c>
      <c r="N76" s="31">
        <f>'октябрь 2014г. по 6-10'!N76+'октябрь 2014г. по 0,4'!N73</f>
        <v>0</v>
      </c>
      <c r="O76" s="31">
        <f>'октябрь 2014г. по 6-10'!O76+'октябрь 2014г. по 0,4'!O73</f>
        <v>0</v>
      </c>
      <c r="P76" s="31">
        <f>'октябрь 2014г. по 6-10'!P76+'октябрь 2014г. по 0,4'!P73</f>
        <v>0</v>
      </c>
      <c r="Q76" s="31">
        <f>'октябрь 2014г. по 6-10'!Q76+'октябрь 2014г. по 0,4'!Q73</f>
        <v>0</v>
      </c>
    </row>
    <row r="77" spans="1:17" ht="12.75" customHeight="1" x14ac:dyDescent="0.2">
      <c r="A77" s="18"/>
      <c r="B77" s="53"/>
      <c r="C77" s="18" t="s">
        <v>157</v>
      </c>
      <c r="D77" s="31">
        <f>'октябрь 2014г. по 6-10'!D77+'октябрь 2014г. по 0,4'!D74</f>
        <v>17</v>
      </c>
      <c r="E77" s="31">
        <f>'октябрь 2014г. по 6-10'!E77+'октябрь 2014г. по 0,4'!E74</f>
        <v>838</v>
      </c>
      <c r="F77" s="31">
        <f>'октябрь 2014г. по 6-10'!F77+'октябрь 2014г. по 0,4'!F74</f>
        <v>16</v>
      </c>
      <c r="G77" s="31">
        <f>'октябрь 2014г. по 6-10'!G77+'октябрь 2014г. по 0,4'!G74</f>
        <v>138</v>
      </c>
      <c r="H77" s="31">
        <f>'октябрь 2014г. по 6-10'!H77+'октябрь 2014г. по 0,4'!H74</f>
        <v>0</v>
      </c>
      <c r="I77" s="31">
        <f>'октябрь 2014г. по 6-10'!I77+'октябрь 2014г. по 0,4'!I74</f>
        <v>0</v>
      </c>
      <c r="J77" s="31">
        <f>'октябрь 2014г. по 6-10'!J77+'октябрь 2014г. по 0,4'!J74</f>
        <v>0</v>
      </c>
      <c r="K77" s="31">
        <f>'октябрь 2014г. по 6-10'!K77+'октябрь 2014г. по 0,4'!K74</f>
        <v>0</v>
      </c>
      <c r="L77" s="31">
        <f>'октябрь 2014г. по 6-10'!L77+'октябрь 2014г. по 0,4'!L74</f>
        <v>0</v>
      </c>
      <c r="M77" s="31">
        <f>'октябрь 2014г. по 6-10'!M77+'октябрь 2014г. по 0,4'!M74</f>
        <v>0</v>
      </c>
      <c r="N77" s="31">
        <f>'октябрь 2014г. по 6-10'!N77+'октябрь 2014г. по 0,4'!N74</f>
        <v>0</v>
      </c>
      <c r="O77" s="31">
        <f>'октябрь 2014г. по 6-10'!O77+'октябрь 2014г. по 0,4'!O74</f>
        <v>0</v>
      </c>
      <c r="P77" s="31">
        <f>'октябрь 2014г. по 6-10'!P77+'октябрь 2014г. по 0,4'!P74</f>
        <v>0</v>
      </c>
      <c r="Q77" s="31">
        <f>'октябрь 2014г. по 6-10'!Q77+'октябрь 2014г. по 0,4'!Q74</f>
        <v>0</v>
      </c>
    </row>
    <row r="78" spans="1:17" ht="12.75" customHeight="1" x14ac:dyDescent="0.2">
      <c r="A78" s="18"/>
      <c r="B78" s="53"/>
      <c r="C78" s="18" t="s">
        <v>158</v>
      </c>
      <c r="D78" s="31">
        <f>'октябрь 2014г. по 6-10'!D78+'октябрь 2014г. по 0,4'!D75</f>
        <v>7</v>
      </c>
      <c r="E78" s="31">
        <f>'октябрь 2014г. по 6-10'!E78+'октябрь 2014г. по 0,4'!E75</f>
        <v>376</v>
      </c>
      <c r="F78" s="31">
        <f>'октябрь 2014г. по 6-10'!F78+'октябрь 2014г. по 0,4'!F75</f>
        <v>5</v>
      </c>
      <c r="G78" s="31">
        <f>'октябрь 2014г. по 6-10'!G78+'октябрь 2014г. по 0,4'!G75</f>
        <v>63.5</v>
      </c>
      <c r="H78" s="31">
        <f>'октябрь 2014г. по 6-10'!H78+'октябрь 2014г. по 0,4'!H75</f>
        <v>0</v>
      </c>
      <c r="I78" s="31">
        <f>'октябрь 2014г. по 6-10'!I78+'октябрь 2014г. по 0,4'!I75</f>
        <v>0</v>
      </c>
      <c r="J78" s="31">
        <f>'октябрь 2014г. по 6-10'!J78+'октябрь 2014г. по 0,4'!J75</f>
        <v>27</v>
      </c>
      <c r="K78" s="31">
        <f>'октябрь 2014г. по 6-10'!K78+'октябрь 2014г. по 0,4'!K75</f>
        <v>197</v>
      </c>
      <c r="L78" s="31">
        <f>'октябрь 2014г. по 6-10'!L78+'октябрь 2014г. по 0,4'!L75</f>
        <v>0</v>
      </c>
      <c r="M78" s="31">
        <f>'октябрь 2014г. по 6-10'!M78+'октябрь 2014г. по 0,4'!M75</f>
        <v>0</v>
      </c>
      <c r="N78" s="31">
        <f>'октябрь 2014г. по 6-10'!N78+'октябрь 2014г. по 0,4'!N75</f>
        <v>0</v>
      </c>
      <c r="O78" s="31">
        <f>'октябрь 2014г. по 6-10'!O78+'октябрь 2014г. по 0,4'!O75</f>
        <v>0</v>
      </c>
      <c r="P78" s="31">
        <f>'октябрь 2014г. по 6-10'!P78+'октябрь 2014г. по 0,4'!P75</f>
        <v>0</v>
      </c>
      <c r="Q78" s="31">
        <f>'октябрь 2014г. по 6-10'!Q78+'октябрь 2014г. по 0,4'!Q75</f>
        <v>0</v>
      </c>
    </row>
    <row r="79" spans="1:17" ht="12.75" customHeight="1" x14ac:dyDescent="0.2">
      <c r="A79" s="18"/>
      <c r="B79" s="53"/>
      <c r="C79" s="18" t="s">
        <v>159</v>
      </c>
      <c r="D79" s="31">
        <f>'октябрь 2014г. по 6-10'!D79+'октябрь 2014г. по 0,4'!D76</f>
        <v>1</v>
      </c>
      <c r="E79" s="31">
        <f>'октябрь 2014г. по 6-10'!E79+'октябрь 2014г. по 0,4'!E76</f>
        <v>90</v>
      </c>
      <c r="F79" s="31">
        <f>'октябрь 2014г. по 6-10'!F79+'октябрь 2014г. по 0,4'!F76</f>
        <v>1</v>
      </c>
      <c r="G79" s="31">
        <f>'октябрь 2014г. по 6-10'!G79+'октябрь 2014г. по 0,4'!G76</f>
        <v>10</v>
      </c>
      <c r="H79" s="31">
        <f>'октябрь 2014г. по 6-10'!H79+'октябрь 2014г. по 0,4'!H76</f>
        <v>0</v>
      </c>
      <c r="I79" s="31">
        <f>'октябрь 2014г. по 6-10'!I79+'октябрь 2014г. по 0,4'!I76</f>
        <v>0</v>
      </c>
      <c r="J79" s="31">
        <f>'октябрь 2014г. по 6-10'!J79+'октябрь 2014г. по 0,4'!J76</f>
        <v>0</v>
      </c>
      <c r="K79" s="31">
        <f>'октябрь 2014г. по 6-10'!K79+'октябрь 2014г. по 0,4'!K76</f>
        <v>0</v>
      </c>
      <c r="L79" s="31">
        <f>'октябрь 2014г. по 6-10'!L79+'октябрь 2014г. по 0,4'!L76</f>
        <v>0</v>
      </c>
      <c r="M79" s="31">
        <f>'октябрь 2014г. по 6-10'!M79+'октябрь 2014г. по 0,4'!M76</f>
        <v>0</v>
      </c>
      <c r="N79" s="31">
        <f>'октябрь 2014г. по 6-10'!N79+'октябрь 2014г. по 0,4'!N76</f>
        <v>0</v>
      </c>
      <c r="O79" s="31">
        <f>'октябрь 2014г. по 6-10'!O79+'октябрь 2014г. по 0,4'!O76</f>
        <v>0</v>
      </c>
      <c r="P79" s="31">
        <f>'октябрь 2014г. по 6-10'!P79+'октябрь 2014г. по 0,4'!P76</f>
        <v>0</v>
      </c>
      <c r="Q79" s="31">
        <f>'октябрь 2014г. по 6-10'!Q79+'октябрь 2014г. по 0,4'!Q76</f>
        <v>0</v>
      </c>
    </row>
    <row r="80" spans="1:17" ht="12.75" customHeight="1" x14ac:dyDescent="0.2">
      <c r="A80" s="18"/>
      <c r="B80" s="53"/>
      <c r="C80" s="18" t="s">
        <v>160</v>
      </c>
      <c r="D80" s="31">
        <f>'октябрь 2014г. по 6-10'!D80+'октябрь 2014г. по 0,4'!D77</f>
        <v>1</v>
      </c>
      <c r="E80" s="31">
        <f>'октябрь 2014г. по 6-10'!E80+'октябрь 2014г. по 0,4'!E77</f>
        <v>7</v>
      </c>
      <c r="F80" s="31">
        <f>'октябрь 2014г. по 6-10'!F80+'октябрь 2014г. по 0,4'!F77</f>
        <v>1</v>
      </c>
      <c r="G80" s="31">
        <f>'октябрь 2014г. по 6-10'!G80+'октябрь 2014г. по 0,4'!G77</f>
        <v>7</v>
      </c>
      <c r="H80" s="31">
        <f>'октябрь 2014г. по 6-10'!H80+'октябрь 2014г. по 0,4'!H77</f>
        <v>0</v>
      </c>
      <c r="I80" s="31">
        <f>'октябрь 2014г. по 6-10'!I80+'октябрь 2014г. по 0,4'!I77</f>
        <v>0</v>
      </c>
      <c r="J80" s="31">
        <f>'октябрь 2014г. по 6-10'!J80+'октябрь 2014г. по 0,4'!J77</f>
        <v>0</v>
      </c>
      <c r="K80" s="31">
        <f>'октябрь 2014г. по 6-10'!K80+'октябрь 2014г. по 0,4'!K77</f>
        <v>0</v>
      </c>
      <c r="L80" s="31">
        <f>'октябрь 2014г. по 6-10'!L80+'октябрь 2014г. по 0,4'!L77</f>
        <v>0</v>
      </c>
      <c r="M80" s="31">
        <f>'октябрь 2014г. по 6-10'!M80+'октябрь 2014г. по 0,4'!M77</f>
        <v>0</v>
      </c>
      <c r="N80" s="31">
        <f>'октябрь 2014г. по 6-10'!N80+'октябрь 2014г. по 0,4'!N77</f>
        <v>0</v>
      </c>
      <c r="O80" s="31">
        <f>'октябрь 2014г. по 6-10'!O80+'октябрь 2014г. по 0,4'!O77</f>
        <v>0</v>
      </c>
      <c r="P80" s="31">
        <f>'октябрь 2014г. по 6-10'!P80+'октябрь 2014г. по 0,4'!P77</f>
        <v>0</v>
      </c>
      <c r="Q80" s="31">
        <f>'октябрь 2014г. по 6-10'!Q80+'октябрь 2014г. по 0,4'!Q77</f>
        <v>0</v>
      </c>
    </row>
    <row r="81" spans="1:17" ht="12.75" customHeight="1" x14ac:dyDescent="0.2">
      <c r="A81" s="18"/>
      <c r="B81" s="53"/>
      <c r="C81" s="18" t="s">
        <v>161</v>
      </c>
      <c r="D81" s="31">
        <f>'октябрь 2014г. по 6-10'!D81+'октябрь 2014г. по 0,4'!D78</f>
        <v>11</v>
      </c>
      <c r="E81" s="31">
        <f>'октябрь 2014г. по 6-10'!E81+'октябрь 2014г. по 0,4'!E78</f>
        <v>716</v>
      </c>
      <c r="F81" s="31">
        <f>'октябрь 2014г. по 6-10'!F81+'октябрь 2014г. по 0,4'!F78</f>
        <v>7</v>
      </c>
      <c r="G81" s="31">
        <f>'октябрь 2014г. по 6-10'!G81+'октябрь 2014г. по 0,4'!G78</f>
        <v>62</v>
      </c>
      <c r="H81" s="31">
        <f>'октябрь 2014г. по 6-10'!H81+'октябрь 2014г. по 0,4'!H78</f>
        <v>0</v>
      </c>
      <c r="I81" s="31">
        <f>'октябрь 2014г. по 6-10'!I81+'октябрь 2014г. по 0,4'!I78</f>
        <v>0</v>
      </c>
      <c r="J81" s="31">
        <f>'октябрь 2014г. по 6-10'!J81+'октябрь 2014г. по 0,4'!J78</f>
        <v>2</v>
      </c>
      <c r="K81" s="31">
        <f>'октябрь 2014г. по 6-10'!K81+'октябрь 2014г. по 0,4'!K78</f>
        <v>160</v>
      </c>
      <c r="L81" s="31">
        <f>'октябрь 2014г. по 6-10'!L81+'октябрь 2014г. по 0,4'!L78</f>
        <v>0</v>
      </c>
      <c r="M81" s="31">
        <f>'октябрь 2014г. по 6-10'!M81+'октябрь 2014г. по 0,4'!M78</f>
        <v>0</v>
      </c>
      <c r="N81" s="31">
        <f>'октябрь 2014г. по 6-10'!N81+'октябрь 2014г. по 0,4'!N78</f>
        <v>0</v>
      </c>
      <c r="O81" s="31">
        <f>'октябрь 2014г. по 6-10'!O81+'октябрь 2014г. по 0,4'!O78</f>
        <v>0</v>
      </c>
      <c r="P81" s="31">
        <f>'октябрь 2014г. по 6-10'!P81+'октябрь 2014г. по 0,4'!P78</f>
        <v>0</v>
      </c>
      <c r="Q81" s="31">
        <f>'октябрь 2014г. по 6-10'!Q81+'октябрь 2014г. по 0,4'!Q78</f>
        <v>0</v>
      </c>
    </row>
    <row r="82" spans="1:17" ht="12.75" customHeight="1" x14ac:dyDescent="0.2">
      <c r="A82" s="18"/>
      <c r="B82" s="53"/>
      <c r="C82" s="18" t="s">
        <v>162</v>
      </c>
      <c r="D82" s="31">
        <f>'октябрь 2014г. по 6-10'!D82+'октябрь 2014г. по 0,4'!D79</f>
        <v>2</v>
      </c>
      <c r="E82" s="31">
        <f>'октябрь 2014г. по 6-10'!E82+'октябрь 2014г. по 0,4'!E79</f>
        <v>30</v>
      </c>
      <c r="F82" s="31">
        <f>'октябрь 2014г. по 6-10'!F82+'октябрь 2014г. по 0,4'!F79</f>
        <v>2</v>
      </c>
      <c r="G82" s="31">
        <f>'октябрь 2014г. по 6-10'!G82+'октябрь 2014г. по 0,4'!G79</f>
        <v>10</v>
      </c>
      <c r="H82" s="31">
        <f>'октябрь 2014г. по 6-10'!H82+'октябрь 2014г. по 0,4'!H79</f>
        <v>0</v>
      </c>
      <c r="I82" s="31">
        <f>'октябрь 2014г. по 6-10'!I82+'октябрь 2014г. по 0,4'!I79</f>
        <v>0</v>
      </c>
      <c r="J82" s="31">
        <f>'октябрь 2014г. по 6-10'!J82+'октябрь 2014г. по 0,4'!J79</f>
        <v>0</v>
      </c>
      <c r="K82" s="31">
        <f>'октябрь 2014г. по 6-10'!K82+'октябрь 2014г. по 0,4'!K79</f>
        <v>0</v>
      </c>
      <c r="L82" s="31">
        <f>'октябрь 2014г. по 6-10'!L82+'октябрь 2014г. по 0,4'!L79</f>
        <v>0</v>
      </c>
      <c r="M82" s="31">
        <f>'октябрь 2014г. по 6-10'!M82+'октябрь 2014г. по 0,4'!M79</f>
        <v>0</v>
      </c>
      <c r="N82" s="31">
        <f>'октябрь 2014г. по 6-10'!N82+'октябрь 2014г. по 0,4'!N79</f>
        <v>0</v>
      </c>
      <c r="O82" s="31">
        <f>'октябрь 2014г. по 6-10'!O82+'октябрь 2014г. по 0,4'!O79</f>
        <v>0</v>
      </c>
      <c r="P82" s="31">
        <f>'октябрь 2014г. по 6-10'!P82+'октябрь 2014г. по 0,4'!P79</f>
        <v>0</v>
      </c>
      <c r="Q82" s="31">
        <f>'октябрь 2014г. по 6-10'!Q82+'октябрь 2014г. по 0,4'!Q79</f>
        <v>0</v>
      </c>
    </row>
    <row r="83" spans="1:17" ht="12.75" customHeight="1" x14ac:dyDescent="0.2">
      <c r="A83" s="18"/>
      <c r="B83" s="53"/>
      <c r="C83" s="18" t="s">
        <v>163</v>
      </c>
      <c r="D83" s="31">
        <f>'октябрь 2014г. по 6-10'!D83+'октябрь 2014г. по 0,4'!D80</f>
        <v>5</v>
      </c>
      <c r="E83" s="31">
        <f>'октябрь 2014г. по 6-10'!E83+'октябрь 2014г. по 0,4'!E80</f>
        <v>165</v>
      </c>
      <c r="F83" s="31">
        <f>'октябрь 2014г. по 6-10'!F83+'октябрь 2014г. по 0,4'!F80</f>
        <v>5</v>
      </c>
      <c r="G83" s="31">
        <f>'октябрь 2014г. по 6-10'!G83+'октябрь 2014г. по 0,4'!G80</f>
        <v>83</v>
      </c>
      <c r="H83" s="31">
        <f>'октябрь 2014г. по 6-10'!H83+'октябрь 2014г. по 0,4'!H80</f>
        <v>0</v>
      </c>
      <c r="I83" s="31">
        <f>'октябрь 2014г. по 6-10'!I83+'октябрь 2014г. по 0,4'!I80</f>
        <v>0</v>
      </c>
      <c r="J83" s="31">
        <f>'октябрь 2014г. по 6-10'!J83+'октябрь 2014г. по 0,4'!J80</f>
        <v>0</v>
      </c>
      <c r="K83" s="31">
        <f>'октябрь 2014г. по 6-10'!K83+'октябрь 2014г. по 0,4'!K80</f>
        <v>0</v>
      </c>
      <c r="L83" s="31">
        <f>'октябрь 2014г. по 6-10'!L83+'октябрь 2014г. по 0,4'!L80</f>
        <v>0</v>
      </c>
      <c r="M83" s="31">
        <f>'октябрь 2014г. по 6-10'!M83+'октябрь 2014г. по 0,4'!M80</f>
        <v>0</v>
      </c>
      <c r="N83" s="31">
        <f>'октябрь 2014г. по 6-10'!N83+'октябрь 2014г. по 0,4'!N80</f>
        <v>0</v>
      </c>
      <c r="O83" s="31">
        <f>'октябрь 2014г. по 6-10'!O83+'октябрь 2014г. по 0,4'!O80</f>
        <v>0</v>
      </c>
      <c r="P83" s="31">
        <f>'октябрь 2014г. по 6-10'!P83+'октябрь 2014г. по 0,4'!P80</f>
        <v>0</v>
      </c>
      <c r="Q83" s="31">
        <f>'октябрь 2014г. по 6-10'!Q83+'октябрь 2014г. по 0,4'!Q80</f>
        <v>0</v>
      </c>
    </row>
    <row r="84" spans="1:17" ht="12.75" customHeight="1" x14ac:dyDescent="0.2">
      <c r="A84" s="18"/>
      <c r="B84" s="53"/>
      <c r="C84" s="18" t="s">
        <v>352</v>
      </c>
      <c r="D84" s="31">
        <f>'октябрь 2014г. по 6-10'!D84+'октябрь 2014г. по 0,4'!D81</f>
        <v>7</v>
      </c>
      <c r="E84" s="31">
        <f>'октябрь 2014г. по 6-10'!E84+'октябрь 2014г. по 0,4'!E81</f>
        <v>55</v>
      </c>
      <c r="F84" s="31">
        <f>'октябрь 2014г. по 6-10'!F84+'октябрь 2014г. по 0,4'!F81</f>
        <v>7</v>
      </c>
      <c r="G84" s="31">
        <f>'октябрь 2014г. по 6-10'!G84+'октябрь 2014г. по 0,4'!G81</f>
        <v>55</v>
      </c>
      <c r="H84" s="31">
        <f>'октябрь 2014г. по 6-10'!H84+'октябрь 2014г. по 0,4'!H81</f>
        <v>0</v>
      </c>
      <c r="I84" s="31">
        <f>'октябрь 2014г. по 6-10'!I84+'октябрь 2014г. по 0,4'!I81</f>
        <v>0</v>
      </c>
      <c r="J84" s="31">
        <f>'октябрь 2014г. по 6-10'!J84+'октябрь 2014г. по 0,4'!J81</f>
        <v>0</v>
      </c>
      <c r="K84" s="31">
        <f>'октябрь 2014г. по 6-10'!K84+'октябрь 2014г. по 0,4'!K81</f>
        <v>0</v>
      </c>
      <c r="L84" s="31">
        <f>'октябрь 2014г. по 6-10'!L84+'октябрь 2014г. по 0,4'!L81</f>
        <v>0</v>
      </c>
      <c r="M84" s="31">
        <f>'октябрь 2014г. по 6-10'!M84+'октябрь 2014г. по 0,4'!M81</f>
        <v>0</v>
      </c>
      <c r="N84" s="31">
        <f>'октябрь 2014г. по 6-10'!N84+'октябрь 2014г. по 0,4'!N81</f>
        <v>0</v>
      </c>
      <c r="O84" s="31">
        <f>'октябрь 2014г. по 6-10'!O84+'октябрь 2014г. по 0,4'!O81</f>
        <v>0</v>
      </c>
      <c r="P84" s="31">
        <f>'октябрь 2014г. по 6-10'!P84+'октябрь 2014г. по 0,4'!P81</f>
        <v>0</v>
      </c>
      <c r="Q84" s="31">
        <f>'октябрь 2014г. по 6-10'!Q84+'октябрь 2014г. по 0,4'!Q81</f>
        <v>0</v>
      </c>
    </row>
    <row r="85" spans="1:17" ht="12.75" customHeight="1" x14ac:dyDescent="0.2">
      <c r="A85" s="18"/>
      <c r="B85" s="53"/>
      <c r="C85" s="18" t="s">
        <v>171</v>
      </c>
      <c r="D85" s="31">
        <f>'октябрь 2014г. по 6-10'!D85+'октябрь 2014г. по 0,4'!D82</f>
        <v>2</v>
      </c>
      <c r="E85" s="31">
        <f>'октябрь 2014г. по 6-10'!E85+'октябрь 2014г. по 0,4'!E82</f>
        <v>149</v>
      </c>
      <c r="F85" s="31">
        <f>'октябрь 2014г. по 6-10'!F85+'октябрь 2014г. по 0,4'!F82</f>
        <v>1</v>
      </c>
      <c r="G85" s="31">
        <f>'октябрь 2014г. по 6-10'!G85+'октябрь 2014г. по 0,4'!G82</f>
        <v>4</v>
      </c>
      <c r="H85" s="31">
        <f>'октябрь 2014г. по 6-10'!H85+'октябрь 2014г. по 0,4'!H82</f>
        <v>0</v>
      </c>
      <c r="I85" s="31">
        <f>'октябрь 2014г. по 6-10'!I85+'октябрь 2014г. по 0,4'!I82</f>
        <v>0</v>
      </c>
      <c r="J85" s="31">
        <f>'октябрь 2014г. по 6-10'!J85+'октябрь 2014г. по 0,4'!J82</f>
        <v>1</v>
      </c>
      <c r="K85" s="31">
        <f>'октябрь 2014г. по 6-10'!K85+'октябрь 2014г. по 0,4'!K82</f>
        <v>4</v>
      </c>
      <c r="L85" s="31">
        <f>'октябрь 2014г. по 6-10'!L85+'октябрь 2014г. по 0,4'!L82</f>
        <v>0</v>
      </c>
      <c r="M85" s="31">
        <f>'октябрь 2014г. по 6-10'!M85+'октябрь 2014г. по 0,4'!M82</f>
        <v>0</v>
      </c>
      <c r="N85" s="31">
        <f>'октябрь 2014г. по 6-10'!N85+'октябрь 2014г. по 0,4'!N82</f>
        <v>0</v>
      </c>
      <c r="O85" s="31">
        <f>'октябрь 2014г. по 6-10'!O85+'октябрь 2014г. по 0,4'!O82</f>
        <v>0</v>
      </c>
      <c r="P85" s="31">
        <f>'октябрь 2014г. по 6-10'!P85+'октябрь 2014г. по 0,4'!P82</f>
        <v>0</v>
      </c>
      <c r="Q85" s="31">
        <f>'октябрь 2014г. по 6-10'!Q85+'октябрь 2014г. по 0,4'!Q82</f>
        <v>0</v>
      </c>
    </row>
    <row r="86" spans="1:17" ht="12.75" customHeight="1" x14ac:dyDescent="0.2">
      <c r="A86" s="18"/>
      <c r="B86" s="53"/>
      <c r="C86" s="18" t="s">
        <v>164</v>
      </c>
      <c r="D86" s="31">
        <f>'октябрь 2014г. по 6-10'!D86+'октябрь 2014г. по 0,4'!D83</f>
        <v>8</v>
      </c>
      <c r="E86" s="31">
        <f>'октябрь 2014г. по 6-10'!E86+'октябрь 2014г. по 0,4'!E83</f>
        <v>182</v>
      </c>
      <c r="F86" s="31">
        <f>'октябрь 2014г. по 6-10'!F86+'октябрь 2014г. по 0,4'!F83</f>
        <v>6</v>
      </c>
      <c r="G86" s="31">
        <f>'октябрь 2014г. по 6-10'!G86+'октябрь 2014г. по 0,4'!G83</f>
        <v>34</v>
      </c>
      <c r="H86" s="31">
        <f>'октябрь 2014г. по 6-10'!H86+'октябрь 2014г. по 0,4'!H83</f>
        <v>0</v>
      </c>
      <c r="I86" s="31">
        <f>'октябрь 2014г. по 6-10'!I86+'октябрь 2014г. по 0,4'!I83</f>
        <v>0</v>
      </c>
      <c r="J86" s="31">
        <f>'октябрь 2014г. по 6-10'!J86+'октябрь 2014г. по 0,4'!J83</f>
        <v>0</v>
      </c>
      <c r="K86" s="31">
        <f>'октябрь 2014г. по 6-10'!K86+'октябрь 2014г. по 0,4'!K83</f>
        <v>0</v>
      </c>
      <c r="L86" s="31">
        <f>'октябрь 2014г. по 6-10'!L86+'октябрь 2014г. по 0,4'!L83</f>
        <v>0</v>
      </c>
      <c r="M86" s="31">
        <f>'октябрь 2014г. по 6-10'!M86+'октябрь 2014г. по 0,4'!M83</f>
        <v>0</v>
      </c>
      <c r="N86" s="31">
        <f>'октябрь 2014г. по 6-10'!N86+'октябрь 2014г. по 0,4'!N83</f>
        <v>0</v>
      </c>
      <c r="O86" s="31">
        <f>'октябрь 2014г. по 6-10'!O86+'октябрь 2014г. по 0,4'!O83</f>
        <v>0</v>
      </c>
      <c r="P86" s="31">
        <f>'октябрь 2014г. по 6-10'!P86+'октябрь 2014г. по 0,4'!P83</f>
        <v>0</v>
      </c>
      <c r="Q86" s="31">
        <f>'октябрь 2014г. по 6-10'!Q86+'октябрь 2014г. по 0,4'!Q83</f>
        <v>0</v>
      </c>
    </row>
    <row r="87" spans="1:17" ht="12.75" customHeight="1" x14ac:dyDescent="0.2">
      <c r="A87" s="18"/>
      <c r="B87" s="53"/>
      <c r="C87" s="18" t="s">
        <v>357</v>
      </c>
      <c r="D87" s="31">
        <f>'октябрь 2014г. по 6-10'!D87+'октябрь 2014г. по 0,4'!D84</f>
        <v>4</v>
      </c>
      <c r="E87" s="31">
        <f>'октябрь 2014г. по 6-10'!E87+'октябрь 2014г. по 0,4'!E84</f>
        <v>345</v>
      </c>
      <c r="F87" s="31">
        <f>'октябрь 2014г. по 6-10'!F87+'октябрь 2014г. по 0,4'!F84</f>
        <v>1</v>
      </c>
      <c r="G87" s="31">
        <f>'октябрь 2014г. по 6-10'!G87+'октябрь 2014г. по 0,4'!G84</f>
        <v>5</v>
      </c>
      <c r="H87" s="31">
        <f>'октябрь 2014г. по 6-10'!H87+'октябрь 2014г. по 0,4'!H84</f>
        <v>0</v>
      </c>
      <c r="I87" s="31">
        <f>'октябрь 2014г. по 6-10'!I87+'октябрь 2014г. по 0,4'!I84</f>
        <v>0</v>
      </c>
      <c r="J87" s="31">
        <f>'октябрь 2014г. по 6-10'!J87+'октябрь 2014г. по 0,4'!J84</f>
        <v>0</v>
      </c>
      <c r="K87" s="31">
        <f>'октябрь 2014г. по 6-10'!K87+'октябрь 2014г. по 0,4'!K84</f>
        <v>0</v>
      </c>
      <c r="L87" s="31">
        <f>'октябрь 2014г. по 6-10'!L87+'октябрь 2014г. по 0,4'!L84</f>
        <v>0</v>
      </c>
      <c r="M87" s="31">
        <f>'октябрь 2014г. по 6-10'!M87+'октябрь 2014г. по 0,4'!M84</f>
        <v>0</v>
      </c>
      <c r="N87" s="31">
        <f>'октябрь 2014г. по 6-10'!N87+'октябрь 2014г. по 0,4'!N84</f>
        <v>0</v>
      </c>
      <c r="O87" s="31">
        <f>'октябрь 2014г. по 6-10'!O87+'октябрь 2014г. по 0,4'!O84</f>
        <v>0</v>
      </c>
      <c r="P87" s="31">
        <f>'октябрь 2014г. по 6-10'!P87+'октябрь 2014г. по 0,4'!P84</f>
        <v>0</v>
      </c>
      <c r="Q87" s="31">
        <f>'октябрь 2014г. по 6-10'!Q87+'октябрь 2014г. по 0,4'!Q84</f>
        <v>0</v>
      </c>
    </row>
    <row r="88" spans="1:17" ht="12.75" customHeight="1" x14ac:dyDescent="0.2">
      <c r="A88" s="18"/>
      <c r="B88" s="53"/>
      <c r="C88" s="18" t="s">
        <v>165</v>
      </c>
      <c r="D88" s="31">
        <f>'октябрь 2014г. по 6-10'!D88+'октябрь 2014г. по 0,4'!D85</f>
        <v>1</v>
      </c>
      <c r="E88" s="31">
        <f>'октябрь 2014г. по 6-10'!E88+'октябрь 2014г. по 0,4'!E85</f>
        <v>65</v>
      </c>
      <c r="F88" s="31">
        <f>'октябрь 2014г. по 6-10'!F88+'октябрь 2014г. по 0,4'!F85</f>
        <v>1</v>
      </c>
      <c r="G88" s="31">
        <f>'октябрь 2014г. по 6-10'!G88+'октябрь 2014г. по 0,4'!G85</f>
        <v>15</v>
      </c>
      <c r="H88" s="31">
        <f>'октябрь 2014г. по 6-10'!H88+'октябрь 2014г. по 0,4'!H85</f>
        <v>0</v>
      </c>
      <c r="I88" s="31">
        <f>'октябрь 2014г. по 6-10'!I88+'октябрь 2014г. по 0,4'!I85</f>
        <v>0</v>
      </c>
      <c r="J88" s="31">
        <f>'октябрь 2014г. по 6-10'!J88+'октябрь 2014г. по 0,4'!J85</f>
        <v>0</v>
      </c>
      <c r="K88" s="31">
        <f>'октябрь 2014г. по 6-10'!K88+'октябрь 2014г. по 0,4'!K85</f>
        <v>0</v>
      </c>
      <c r="L88" s="31">
        <f>'октябрь 2014г. по 6-10'!L88+'октябрь 2014г. по 0,4'!L85</f>
        <v>0</v>
      </c>
      <c r="M88" s="31">
        <f>'октябрь 2014г. по 6-10'!M88+'октябрь 2014г. по 0,4'!M85</f>
        <v>0</v>
      </c>
      <c r="N88" s="31">
        <f>'октябрь 2014г. по 6-10'!N88+'октябрь 2014г. по 0,4'!N85</f>
        <v>0</v>
      </c>
      <c r="O88" s="31">
        <f>'октябрь 2014г. по 6-10'!O88+'октябрь 2014г. по 0,4'!O85</f>
        <v>0</v>
      </c>
      <c r="P88" s="31">
        <f>'октябрь 2014г. по 6-10'!P88+'октябрь 2014г. по 0,4'!P85</f>
        <v>0</v>
      </c>
      <c r="Q88" s="31">
        <f>'октябрь 2014г. по 6-10'!Q88+'октябрь 2014г. по 0,4'!Q85</f>
        <v>0</v>
      </c>
    </row>
    <row r="89" spans="1:17" ht="12.75" customHeight="1" x14ac:dyDescent="0.2">
      <c r="A89" s="18"/>
      <c r="B89" s="53"/>
      <c r="C89" s="18" t="s">
        <v>166</v>
      </c>
      <c r="D89" s="31">
        <f>'октябрь 2014г. по 6-10'!D89+'октябрь 2014г. по 0,4'!D86</f>
        <v>0</v>
      </c>
      <c r="E89" s="31">
        <f>'октябрь 2014г. по 6-10'!E89+'октябрь 2014г. по 0,4'!E86</f>
        <v>0</v>
      </c>
      <c r="F89" s="31">
        <f>'октябрь 2014г. по 6-10'!F89+'октябрь 2014г. по 0,4'!F86</f>
        <v>0</v>
      </c>
      <c r="G89" s="31">
        <f>'октябрь 2014г. по 6-10'!G89+'октябрь 2014г. по 0,4'!G86</f>
        <v>0</v>
      </c>
      <c r="H89" s="31">
        <f>'октябрь 2014г. по 6-10'!H89+'октябрь 2014г. по 0,4'!H86</f>
        <v>0</v>
      </c>
      <c r="I89" s="31">
        <f>'октябрь 2014г. по 6-10'!I89+'октябрь 2014г. по 0,4'!I86</f>
        <v>0</v>
      </c>
      <c r="J89" s="31">
        <f>'октябрь 2014г. по 6-10'!J89+'октябрь 2014г. по 0,4'!J86</f>
        <v>0</v>
      </c>
      <c r="K89" s="31">
        <f>'октябрь 2014г. по 6-10'!K89+'октябрь 2014г. по 0,4'!K86</f>
        <v>0</v>
      </c>
      <c r="L89" s="31">
        <f>'октябрь 2014г. по 6-10'!L89+'октябрь 2014г. по 0,4'!L86</f>
        <v>0</v>
      </c>
      <c r="M89" s="31">
        <f>'октябрь 2014г. по 6-10'!M89+'октябрь 2014г. по 0,4'!M86</f>
        <v>0</v>
      </c>
      <c r="N89" s="31">
        <f>'октябрь 2014г. по 6-10'!N89+'октябрь 2014г. по 0,4'!N86</f>
        <v>0</v>
      </c>
      <c r="O89" s="31">
        <f>'октябрь 2014г. по 6-10'!O89+'октябрь 2014г. по 0,4'!O86</f>
        <v>0</v>
      </c>
      <c r="P89" s="31">
        <f>'октябрь 2014г. по 6-10'!P89+'октябрь 2014г. по 0,4'!P86</f>
        <v>0</v>
      </c>
      <c r="Q89" s="31">
        <f>'октябрь 2014г. по 6-10'!Q89+'октябрь 2014г. по 0,4'!Q86</f>
        <v>0</v>
      </c>
    </row>
    <row r="90" spans="1:17" ht="12.75" customHeight="1" x14ac:dyDescent="0.2">
      <c r="A90" s="18"/>
      <c r="B90" s="53"/>
      <c r="C90" s="18" t="s">
        <v>353</v>
      </c>
      <c r="D90" s="31">
        <f>'октябрь 2014г. по 6-10'!D90+'октябрь 2014г. по 0,4'!D87</f>
        <v>5</v>
      </c>
      <c r="E90" s="31">
        <f>'октябрь 2014г. по 6-10'!E90+'октябрь 2014г. по 0,4'!E87</f>
        <v>326</v>
      </c>
      <c r="F90" s="31">
        <f>'октябрь 2014г. по 6-10'!F90+'октябрь 2014г. по 0,4'!F87</f>
        <v>1</v>
      </c>
      <c r="G90" s="31">
        <f>'октябрь 2014г. по 6-10'!G90+'октябрь 2014г. по 0,4'!G87</f>
        <v>20</v>
      </c>
      <c r="H90" s="31">
        <f>'октябрь 2014г. по 6-10'!H90+'октябрь 2014г. по 0,4'!H87</f>
        <v>0</v>
      </c>
      <c r="I90" s="31">
        <f>'октябрь 2014г. по 6-10'!I90+'октябрь 2014г. по 0,4'!I87</f>
        <v>0</v>
      </c>
      <c r="J90" s="31">
        <f>'октябрь 2014г. по 6-10'!J90+'октябрь 2014г. по 0,4'!J87</f>
        <v>0</v>
      </c>
      <c r="K90" s="31">
        <f>'октябрь 2014г. по 6-10'!K90+'октябрь 2014г. по 0,4'!K87</f>
        <v>0</v>
      </c>
      <c r="L90" s="31">
        <f>'октябрь 2014г. по 6-10'!L90+'октябрь 2014г. по 0,4'!L87</f>
        <v>0</v>
      </c>
      <c r="M90" s="31">
        <f>'октябрь 2014г. по 6-10'!M90+'октябрь 2014г. по 0,4'!M87</f>
        <v>0</v>
      </c>
      <c r="N90" s="31">
        <f>'октябрь 2014г. по 6-10'!N90+'октябрь 2014г. по 0,4'!N87</f>
        <v>0</v>
      </c>
      <c r="O90" s="31">
        <f>'октябрь 2014г. по 6-10'!O90+'октябрь 2014г. по 0,4'!O87</f>
        <v>0</v>
      </c>
      <c r="P90" s="31">
        <f>'октябрь 2014г. по 6-10'!P90+'октябрь 2014г. по 0,4'!P87</f>
        <v>0</v>
      </c>
      <c r="Q90" s="31">
        <f>'октябрь 2014г. по 6-10'!Q90+'октябрь 2014г. по 0,4'!Q87</f>
        <v>0</v>
      </c>
    </row>
    <row r="91" spans="1:17" ht="12.75" customHeight="1" x14ac:dyDescent="0.2">
      <c r="A91" s="18"/>
      <c r="B91" s="53"/>
      <c r="C91" s="18" t="s">
        <v>354</v>
      </c>
      <c r="D91" s="31">
        <f>'октябрь 2014г. по 6-10'!D91+'октябрь 2014г. по 0,4'!D88</f>
        <v>2</v>
      </c>
      <c r="E91" s="31">
        <f>'октябрь 2014г. по 6-10'!E91+'октябрь 2014г. по 0,4'!E88</f>
        <v>95</v>
      </c>
      <c r="F91" s="31">
        <f>'октябрь 2014г. по 6-10'!F91+'октябрь 2014г. по 0,4'!F88</f>
        <v>2</v>
      </c>
      <c r="G91" s="31">
        <f>'октябрь 2014г. по 6-10'!G91+'октябрь 2014г. по 0,4'!G88</f>
        <v>25</v>
      </c>
      <c r="H91" s="31">
        <f>'октябрь 2014г. по 6-10'!H91+'октябрь 2014г. по 0,4'!H88</f>
        <v>0</v>
      </c>
      <c r="I91" s="31">
        <f>'октябрь 2014г. по 6-10'!I91+'октябрь 2014г. по 0,4'!I88</f>
        <v>0</v>
      </c>
      <c r="J91" s="31">
        <f>'октябрь 2014г. по 6-10'!J91+'октябрь 2014г. по 0,4'!J88</f>
        <v>0</v>
      </c>
      <c r="K91" s="31">
        <f>'октябрь 2014г. по 6-10'!K91+'октябрь 2014г. по 0,4'!K88</f>
        <v>0</v>
      </c>
      <c r="L91" s="31">
        <f>'октябрь 2014г. по 6-10'!L91+'октябрь 2014г. по 0,4'!L88</f>
        <v>0</v>
      </c>
      <c r="M91" s="31">
        <f>'октябрь 2014г. по 6-10'!M91+'октябрь 2014г. по 0,4'!M88</f>
        <v>0</v>
      </c>
      <c r="N91" s="31">
        <f>'октябрь 2014г. по 6-10'!N91+'октябрь 2014г. по 0,4'!N88</f>
        <v>0</v>
      </c>
      <c r="O91" s="31">
        <f>'октябрь 2014г. по 6-10'!O91+'октябрь 2014г. по 0,4'!O88</f>
        <v>0</v>
      </c>
      <c r="P91" s="31">
        <f>'октябрь 2014г. по 6-10'!P91+'октябрь 2014г. по 0,4'!P88</f>
        <v>0</v>
      </c>
      <c r="Q91" s="31">
        <f>'октябрь 2014г. по 6-10'!Q91+'октябрь 2014г. по 0,4'!Q88</f>
        <v>0</v>
      </c>
    </row>
    <row r="92" spans="1:17" ht="12.75" customHeight="1" x14ac:dyDescent="0.2">
      <c r="A92" s="18"/>
      <c r="B92" s="53"/>
      <c r="C92" s="18" t="s">
        <v>167</v>
      </c>
      <c r="D92" s="31">
        <f>'октябрь 2014г. по 6-10'!D92+'октябрь 2014г. по 0,4'!D89</f>
        <v>1</v>
      </c>
      <c r="E92" s="31">
        <f>'октябрь 2014г. по 6-10'!E92+'октябрь 2014г. по 0,4'!E89</f>
        <v>114</v>
      </c>
      <c r="F92" s="31">
        <f>'октябрь 2014г. по 6-10'!F92+'октябрь 2014г. по 0,4'!F89</f>
        <v>1</v>
      </c>
      <c r="G92" s="31">
        <f>'октябрь 2014г. по 6-10'!G92+'октябрь 2014г. по 0,4'!G89</f>
        <v>15</v>
      </c>
      <c r="H92" s="31">
        <f>'октябрь 2014г. по 6-10'!H92+'октябрь 2014г. по 0,4'!H89</f>
        <v>0</v>
      </c>
      <c r="I92" s="31">
        <f>'октябрь 2014г. по 6-10'!I92+'октябрь 2014г. по 0,4'!I89</f>
        <v>0</v>
      </c>
      <c r="J92" s="31">
        <f>'октябрь 2014г. по 6-10'!J92+'октябрь 2014г. по 0,4'!J89</f>
        <v>0</v>
      </c>
      <c r="K92" s="31">
        <f>'октябрь 2014г. по 6-10'!K92+'октябрь 2014г. по 0,4'!K89</f>
        <v>0</v>
      </c>
      <c r="L92" s="31">
        <f>'октябрь 2014г. по 6-10'!L92+'октябрь 2014г. по 0,4'!L89</f>
        <v>0</v>
      </c>
      <c r="M92" s="31">
        <f>'октябрь 2014г. по 6-10'!M92+'октябрь 2014г. по 0,4'!M89</f>
        <v>0</v>
      </c>
      <c r="N92" s="31">
        <f>'октябрь 2014г. по 6-10'!N92+'октябрь 2014г. по 0,4'!N89</f>
        <v>0</v>
      </c>
      <c r="O92" s="31">
        <f>'октябрь 2014г. по 6-10'!O92+'октябрь 2014г. по 0,4'!O89</f>
        <v>0</v>
      </c>
      <c r="P92" s="31">
        <f>'октябрь 2014г. по 6-10'!P92+'октябрь 2014г. по 0,4'!P89</f>
        <v>0</v>
      </c>
      <c r="Q92" s="31">
        <f>'октябрь 2014г. по 6-10'!Q92+'октябрь 2014г. по 0,4'!Q89</f>
        <v>0</v>
      </c>
    </row>
    <row r="93" spans="1:17" ht="12.75" customHeight="1" x14ac:dyDescent="0.2">
      <c r="A93" s="18"/>
      <c r="B93" s="53"/>
      <c r="C93" s="18" t="s">
        <v>355</v>
      </c>
      <c r="D93" s="31">
        <f>'октябрь 2014г. по 6-10'!D93+'октябрь 2014г. по 0,4'!D90</f>
        <v>16</v>
      </c>
      <c r="E93" s="31">
        <f>'октябрь 2014г. по 6-10'!E93+'октябрь 2014г. по 0,4'!E90</f>
        <v>279</v>
      </c>
      <c r="F93" s="31">
        <f>'октябрь 2014г. по 6-10'!F93+'октябрь 2014г. по 0,4'!F90</f>
        <v>15</v>
      </c>
      <c r="G93" s="31">
        <f>'октябрь 2014г. по 6-10'!G93+'октябрь 2014г. по 0,4'!G90</f>
        <v>179</v>
      </c>
      <c r="H93" s="31">
        <f>'октябрь 2014г. по 6-10'!H93+'октябрь 2014г. по 0,4'!H90</f>
        <v>0</v>
      </c>
      <c r="I93" s="31">
        <f>'октябрь 2014г. по 6-10'!I93+'октябрь 2014г. по 0,4'!I90</f>
        <v>0</v>
      </c>
      <c r="J93" s="31">
        <f>'октябрь 2014г. по 6-10'!J93+'октябрь 2014г. по 0,4'!J90</f>
        <v>0</v>
      </c>
      <c r="K93" s="31">
        <f>'октябрь 2014г. по 6-10'!K93+'октябрь 2014г. по 0,4'!K90</f>
        <v>0</v>
      </c>
      <c r="L93" s="31">
        <f>'октябрь 2014г. по 6-10'!L93+'октябрь 2014г. по 0,4'!L90</f>
        <v>0</v>
      </c>
      <c r="M93" s="31">
        <f>'октябрь 2014г. по 6-10'!M93+'октябрь 2014г. по 0,4'!M90</f>
        <v>0</v>
      </c>
      <c r="N93" s="31">
        <f>'октябрь 2014г. по 6-10'!N93+'октябрь 2014г. по 0,4'!N90</f>
        <v>0</v>
      </c>
      <c r="O93" s="31">
        <f>'октябрь 2014г. по 6-10'!O93+'октябрь 2014г. по 0,4'!O90</f>
        <v>0</v>
      </c>
      <c r="P93" s="31">
        <f>'октябрь 2014г. по 6-10'!P93+'октябрь 2014г. по 0,4'!P90</f>
        <v>0</v>
      </c>
      <c r="Q93" s="31">
        <f>'октябрь 2014г. по 6-10'!Q93+'октябрь 2014г. по 0,4'!Q90</f>
        <v>0</v>
      </c>
    </row>
    <row r="94" spans="1:17" ht="12.75" customHeight="1" x14ac:dyDescent="0.2">
      <c r="A94" s="18"/>
      <c r="B94" s="53"/>
      <c r="C94" s="18" t="s">
        <v>168</v>
      </c>
      <c r="D94" s="31">
        <f>'октябрь 2014г. по 6-10'!D94+'октябрь 2014г. по 0,4'!D91</f>
        <v>0</v>
      </c>
      <c r="E94" s="31">
        <f>'октябрь 2014г. по 6-10'!E94+'октябрь 2014г. по 0,4'!E91</f>
        <v>0</v>
      </c>
      <c r="F94" s="31">
        <f>'октябрь 2014г. по 6-10'!F94+'октябрь 2014г. по 0,4'!F91</f>
        <v>0</v>
      </c>
      <c r="G94" s="31">
        <f>'октябрь 2014г. по 6-10'!G94+'октябрь 2014г. по 0,4'!G91</f>
        <v>0</v>
      </c>
      <c r="H94" s="31">
        <f>'октябрь 2014г. по 6-10'!H94+'октябрь 2014г. по 0,4'!H91</f>
        <v>0</v>
      </c>
      <c r="I94" s="31">
        <f>'октябрь 2014г. по 6-10'!I94+'октябрь 2014г. по 0,4'!I91</f>
        <v>0</v>
      </c>
      <c r="J94" s="31">
        <f>'октябрь 2014г. по 6-10'!J94+'октябрь 2014г. по 0,4'!J91</f>
        <v>0</v>
      </c>
      <c r="K94" s="31">
        <f>'октябрь 2014г. по 6-10'!K94+'октябрь 2014г. по 0,4'!K91</f>
        <v>0</v>
      </c>
      <c r="L94" s="31">
        <f>'октябрь 2014г. по 6-10'!L94+'октябрь 2014г. по 0,4'!L91</f>
        <v>0</v>
      </c>
      <c r="M94" s="31">
        <f>'октябрь 2014г. по 6-10'!M94+'октябрь 2014г. по 0,4'!M91</f>
        <v>0</v>
      </c>
      <c r="N94" s="31">
        <f>'октябрь 2014г. по 6-10'!N94+'октябрь 2014г. по 0,4'!N91</f>
        <v>0</v>
      </c>
      <c r="O94" s="31">
        <f>'октябрь 2014г. по 6-10'!O94+'октябрь 2014г. по 0,4'!O91</f>
        <v>0</v>
      </c>
      <c r="P94" s="31">
        <f>'октябрь 2014г. по 6-10'!P94+'октябрь 2014г. по 0,4'!P91</f>
        <v>0</v>
      </c>
      <c r="Q94" s="31">
        <f>'октябрь 2014г. по 6-10'!Q94+'октябрь 2014г. по 0,4'!Q91</f>
        <v>0</v>
      </c>
    </row>
    <row r="95" spans="1:17" ht="12.75" customHeight="1" x14ac:dyDescent="0.2">
      <c r="A95" s="18"/>
      <c r="B95" s="53"/>
      <c r="C95" s="18" t="s">
        <v>169</v>
      </c>
      <c r="D95" s="31">
        <f>'октябрь 2014г. по 6-10'!D95+'октябрь 2014г. по 0,4'!D92</f>
        <v>0</v>
      </c>
      <c r="E95" s="31">
        <f>'октябрь 2014г. по 6-10'!E95+'октябрь 2014г. по 0,4'!E92</f>
        <v>0</v>
      </c>
      <c r="F95" s="31">
        <f>'октябрь 2014г. по 6-10'!F95+'октябрь 2014г. по 0,4'!F92</f>
        <v>0</v>
      </c>
      <c r="G95" s="31">
        <f>'октябрь 2014г. по 6-10'!G95+'октябрь 2014г. по 0,4'!G92</f>
        <v>0</v>
      </c>
      <c r="H95" s="31">
        <f>'октябрь 2014г. по 6-10'!H95+'октябрь 2014г. по 0,4'!H92</f>
        <v>0</v>
      </c>
      <c r="I95" s="31">
        <f>'октябрь 2014г. по 6-10'!I95+'октябрь 2014г. по 0,4'!I92</f>
        <v>0</v>
      </c>
      <c r="J95" s="31">
        <f>'октябрь 2014г. по 6-10'!J95+'октябрь 2014г. по 0,4'!J92</f>
        <v>0</v>
      </c>
      <c r="K95" s="31">
        <f>'октябрь 2014г. по 6-10'!K95+'октябрь 2014г. по 0,4'!K92</f>
        <v>0</v>
      </c>
      <c r="L95" s="31">
        <f>'октябрь 2014г. по 6-10'!L95+'октябрь 2014г. по 0,4'!L92</f>
        <v>0</v>
      </c>
      <c r="M95" s="31">
        <f>'октябрь 2014г. по 6-10'!M95+'октябрь 2014г. по 0,4'!M92</f>
        <v>0</v>
      </c>
      <c r="N95" s="31">
        <f>'октябрь 2014г. по 6-10'!N95+'октябрь 2014г. по 0,4'!N92</f>
        <v>0</v>
      </c>
      <c r="O95" s="31">
        <f>'октябрь 2014г. по 6-10'!O95+'октябрь 2014г. по 0,4'!O92</f>
        <v>0</v>
      </c>
      <c r="P95" s="31">
        <f>'октябрь 2014г. по 6-10'!P95+'октябрь 2014г. по 0,4'!P92</f>
        <v>0</v>
      </c>
      <c r="Q95" s="31">
        <f>'октябрь 2014г. по 6-10'!Q95+'октябрь 2014г. по 0,4'!Q92</f>
        <v>0</v>
      </c>
    </row>
    <row r="96" spans="1:17" ht="12.75" customHeight="1" x14ac:dyDescent="0.2">
      <c r="A96" s="18"/>
      <c r="B96" s="53"/>
      <c r="C96" s="18" t="s">
        <v>358</v>
      </c>
      <c r="D96" s="31">
        <f>'октябрь 2014г. по 6-10'!D96+'октябрь 2014г. по 0,4'!D93</f>
        <v>1</v>
      </c>
      <c r="E96" s="31">
        <f>'октябрь 2014г. по 6-10'!E96+'октябрь 2014г. по 0,4'!E93</f>
        <v>6</v>
      </c>
      <c r="F96" s="31">
        <f>'октябрь 2014г. по 6-10'!F96+'октябрь 2014г. по 0,4'!F93</f>
        <v>1</v>
      </c>
      <c r="G96" s="31">
        <f>'октябрь 2014г. по 6-10'!G96+'октябрь 2014г. по 0,4'!G93</f>
        <v>6</v>
      </c>
      <c r="H96" s="31">
        <f>'октябрь 2014г. по 6-10'!H96+'октябрь 2014г. по 0,4'!H93</f>
        <v>0</v>
      </c>
      <c r="I96" s="31">
        <f>'октябрь 2014г. по 6-10'!I96+'октябрь 2014г. по 0,4'!I93</f>
        <v>0</v>
      </c>
      <c r="J96" s="31">
        <f>'октябрь 2014г. по 6-10'!J96+'октябрь 2014г. по 0,4'!J93</f>
        <v>0</v>
      </c>
      <c r="K96" s="31">
        <f>'октябрь 2014г. по 6-10'!K96+'октябрь 2014г. по 0,4'!K93</f>
        <v>0</v>
      </c>
      <c r="L96" s="31">
        <f>'октябрь 2014г. по 6-10'!L96+'октябрь 2014г. по 0,4'!L93</f>
        <v>0</v>
      </c>
      <c r="M96" s="31">
        <f>'октябрь 2014г. по 6-10'!M96+'октябрь 2014г. по 0,4'!M93</f>
        <v>0</v>
      </c>
      <c r="N96" s="31">
        <f>'октябрь 2014г. по 6-10'!N96+'октябрь 2014г. по 0,4'!N93</f>
        <v>0</v>
      </c>
      <c r="O96" s="31">
        <f>'октябрь 2014г. по 6-10'!O96+'октябрь 2014г. по 0,4'!O93</f>
        <v>0</v>
      </c>
      <c r="P96" s="31">
        <f>'октябрь 2014г. по 6-10'!P96+'октябрь 2014г. по 0,4'!P93</f>
        <v>0</v>
      </c>
      <c r="Q96" s="31">
        <f>'октябрь 2014г. по 6-10'!Q96+'октябрь 2014г. по 0,4'!Q93</f>
        <v>0</v>
      </c>
    </row>
    <row r="97" spans="1:17" ht="12.75" customHeight="1" x14ac:dyDescent="0.2">
      <c r="A97" s="18"/>
      <c r="B97" s="53"/>
      <c r="C97" s="18" t="s">
        <v>170</v>
      </c>
      <c r="D97" s="31">
        <f>'октябрь 2014г. по 6-10'!D97+'октябрь 2014г. по 0,4'!D94</f>
        <v>8</v>
      </c>
      <c r="E97" s="31">
        <f>'октябрь 2014г. по 6-10'!E97+'октябрь 2014г. по 0,4'!E94</f>
        <v>117</v>
      </c>
      <c r="F97" s="31">
        <f>'октябрь 2014г. по 6-10'!F97+'октябрь 2014г. по 0,4'!F94</f>
        <v>8</v>
      </c>
      <c r="G97" s="31">
        <f>'октябрь 2014г. по 6-10'!G97+'октябрь 2014г. по 0,4'!G94</f>
        <v>103</v>
      </c>
      <c r="H97" s="31">
        <f>'октябрь 2014г. по 6-10'!H97+'октябрь 2014г. по 0,4'!H94</f>
        <v>0</v>
      </c>
      <c r="I97" s="31">
        <f>'октябрь 2014г. по 6-10'!I97+'октябрь 2014г. по 0,4'!I94</f>
        <v>0</v>
      </c>
      <c r="J97" s="31">
        <f>'октябрь 2014г. по 6-10'!J97+'октябрь 2014г. по 0,4'!J94</f>
        <v>0</v>
      </c>
      <c r="K97" s="31">
        <f>'октябрь 2014г. по 6-10'!K97+'октябрь 2014г. по 0,4'!K94</f>
        <v>0</v>
      </c>
      <c r="L97" s="31">
        <f>'октябрь 2014г. по 6-10'!L97+'октябрь 2014г. по 0,4'!L94</f>
        <v>0</v>
      </c>
      <c r="M97" s="31">
        <f>'октябрь 2014г. по 6-10'!M97+'октябрь 2014г. по 0,4'!M94</f>
        <v>0</v>
      </c>
      <c r="N97" s="31">
        <f>'октябрь 2014г. по 6-10'!N97+'октябрь 2014г. по 0,4'!N94</f>
        <v>0</v>
      </c>
      <c r="O97" s="31">
        <f>'октябрь 2014г. по 6-10'!O97+'октябрь 2014г. по 0,4'!O94</f>
        <v>0</v>
      </c>
      <c r="P97" s="31">
        <f>'октябрь 2014г. по 6-10'!P97+'октябрь 2014г. по 0,4'!P94</f>
        <v>0</v>
      </c>
      <c r="Q97" s="31">
        <f>'октябрь 2014г. по 6-10'!Q97+'октябрь 2014г. по 0,4'!Q94</f>
        <v>0</v>
      </c>
    </row>
    <row r="98" spans="1:17" ht="12.75" customHeight="1" x14ac:dyDescent="0.2">
      <c r="A98" s="18"/>
      <c r="B98" s="53"/>
      <c r="C98" s="18" t="s">
        <v>361</v>
      </c>
      <c r="D98" s="31">
        <f>'октябрь 2014г. по 6-10'!D98+'октябрь 2014г. по 0,4'!D95</f>
        <v>4</v>
      </c>
      <c r="E98" s="31">
        <f>'октябрь 2014г. по 6-10'!E98+'октябрь 2014г. по 0,4'!E95</f>
        <v>121</v>
      </c>
      <c r="F98" s="31">
        <f>'октябрь 2014г. по 6-10'!F98+'октябрь 2014г. по 0,4'!F95</f>
        <v>4</v>
      </c>
      <c r="G98" s="31">
        <f>'октябрь 2014г. по 6-10'!G98+'октябрь 2014г. по 0,4'!G95</f>
        <v>97</v>
      </c>
      <c r="H98" s="31">
        <f>'октябрь 2014г. по 6-10'!H98+'октябрь 2014г. по 0,4'!H95</f>
        <v>0</v>
      </c>
      <c r="I98" s="31">
        <f>'октябрь 2014г. по 6-10'!I98+'октябрь 2014г. по 0,4'!I95</f>
        <v>0</v>
      </c>
      <c r="J98" s="31">
        <f>'октябрь 2014г. по 6-10'!J98+'октябрь 2014г. по 0,4'!J95</f>
        <v>0</v>
      </c>
      <c r="K98" s="31">
        <f>'октябрь 2014г. по 6-10'!K98+'октябрь 2014г. по 0,4'!K95</f>
        <v>0</v>
      </c>
      <c r="L98" s="31">
        <f>'октябрь 2014г. по 6-10'!L98+'октябрь 2014г. по 0,4'!L95</f>
        <v>0</v>
      </c>
      <c r="M98" s="31">
        <f>'октябрь 2014г. по 6-10'!M98+'октябрь 2014г. по 0,4'!M95</f>
        <v>0</v>
      </c>
      <c r="N98" s="31">
        <f>'октябрь 2014г. по 6-10'!N98+'октябрь 2014г. по 0,4'!N95</f>
        <v>0</v>
      </c>
      <c r="O98" s="31">
        <f>'октябрь 2014г. по 6-10'!O98+'октябрь 2014г. по 0,4'!O95</f>
        <v>0</v>
      </c>
      <c r="P98" s="31">
        <f>'октябрь 2014г. по 6-10'!P98+'октябрь 2014г. по 0,4'!P95</f>
        <v>0</v>
      </c>
      <c r="Q98" s="31">
        <f>'октябрь 2014г. по 6-10'!Q98+'октябрь 2014г. по 0,4'!Q95</f>
        <v>0</v>
      </c>
    </row>
    <row r="99" spans="1:17" ht="12.75" customHeight="1" x14ac:dyDescent="0.2">
      <c r="A99" s="18"/>
      <c r="B99" s="53"/>
      <c r="C99" s="18" t="s">
        <v>172</v>
      </c>
      <c r="D99" s="31">
        <f>'октябрь 2014г. по 6-10'!D99+'октябрь 2014г. по 0,4'!D96</f>
        <v>7</v>
      </c>
      <c r="E99" s="31">
        <f>'октябрь 2014г. по 6-10'!E99+'октябрь 2014г. по 0,4'!E96</f>
        <v>179</v>
      </c>
      <c r="F99" s="31">
        <f>'октябрь 2014г. по 6-10'!F99+'октябрь 2014г. по 0,4'!F96</f>
        <v>7</v>
      </c>
      <c r="G99" s="31">
        <f>'октябрь 2014г. по 6-10'!G99+'октябрь 2014г. по 0,4'!G96</f>
        <v>179</v>
      </c>
      <c r="H99" s="31">
        <f>'октябрь 2014г. по 6-10'!H99+'октябрь 2014г. по 0,4'!H96</f>
        <v>0</v>
      </c>
      <c r="I99" s="31">
        <f>'октябрь 2014г. по 6-10'!I99+'октябрь 2014г. по 0,4'!I96</f>
        <v>0</v>
      </c>
      <c r="J99" s="31">
        <f>'октябрь 2014г. по 6-10'!J99+'октябрь 2014г. по 0,4'!J96</f>
        <v>1</v>
      </c>
      <c r="K99" s="31">
        <f>'октябрь 2014г. по 6-10'!K99+'октябрь 2014г. по 0,4'!K96</f>
        <v>6</v>
      </c>
      <c r="L99" s="31">
        <f>'октябрь 2014г. по 6-10'!L99+'октябрь 2014г. по 0,4'!L96</f>
        <v>0</v>
      </c>
      <c r="M99" s="31">
        <f>'октябрь 2014г. по 6-10'!M99+'октябрь 2014г. по 0,4'!M96</f>
        <v>0</v>
      </c>
      <c r="N99" s="31">
        <f>'октябрь 2014г. по 6-10'!N99+'октябрь 2014г. по 0,4'!N96</f>
        <v>0</v>
      </c>
      <c r="O99" s="31">
        <f>'октябрь 2014г. по 6-10'!O99+'октябрь 2014г. по 0,4'!O96</f>
        <v>0</v>
      </c>
      <c r="P99" s="31">
        <f>'октябрь 2014г. по 6-10'!P99+'октябрь 2014г. по 0,4'!P96</f>
        <v>0</v>
      </c>
      <c r="Q99" s="31">
        <f>'октябрь 2014г. по 6-10'!Q99+'октябрь 2014г. по 0,4'!Q96</f>
        <v>0</v>
      </c>
    </row>
    <row r="100" spans="1:17" ht="12.75" customHeight="1" x14ac:dyDescent="0.2">
      <c r="A100" s="18"/>
      <c r="B100" s="53"/>
      <c r="C100" s="18" t="s">
        <v>173</v>
      </c>
      <c r="D100" s="31">
        <f>'октябрь 2014г. по 6-10'!D100+'октябрь 2014г. по 0,4'!D97</f>
        <v>1</v>
      </c>
      <c r="E100" s="31">
        <f>'октябрь 2014г. по 6-10'!E100+'октябрь 2014г. по 0,4'!E97</f>
        <v>7</v>
      </c>
      <c r="F100" s="31">
        <f>'октябрь 2014г. по 6-10'!F100+'октябрь 2014г. по 0,4'!F97</f>
        <v>1</v>
      </c>
      <c r="G100" s="31">
        <f>'октябрь 2014г. по 6-10'!G100+'октябрь 2014г. по 0,4'!G97</f>
        <v>7</v>
      </c>
      <c r="H100" s="31">
        <f>'октябрь 2014г. по 6-10'!H100+'октябрь 2014г. по 0,4'!H97</f>
        <v>0</v>
      </c>
      <c r="I100" s="31">
        <f>'октябрь 2014г. по 6-10'!I100+'октябрь 2014г. по 0,4'!I97</f>
        <v>0</v>
      </c>
      <c r="J100" s="31">
        <f>'октябрь 2014г. по 6-10'!J100+'октябрь 2014г. по 0,4'!J97</f>
        <v>0</v>
      </c>
      <c r="K100" s="31">
        <f>'октябрь 2014г. по 6-10'!K100+'октябрь 2014г. по 0,4'!K97</f>
        <v>0</v>
      </c>
      <c r="L100" s="31">
        <f>'октябрь 2014г. по 6-10'!L100+'октябрь 2014г. по 0,4'!L97</f>
        <v>0</v>
      </c>
      <c r="M100" s="31">
        <f>'октябрь 2014г. по 6-10'!M100+'октябрь 2014г. по 0,4'!M97</f>
        <v>0</v>
      </c>
      <c r="N100" s="31">
        <f>'октябрь 2014г. по 6-10'!N100+'октябрь 2014г. по 0,4'!N97</f>
        <v>0</v>
      </c>
      <c r="O100" s="31">
        <f>'октябрь 2014г. по 6-10'!O100+'октябрь 2014г. по 0,4'!O97</f>
        <v>0</v>
      </c>
      <c r="P100" s="31">
        <f>'октябрь 2014г. по 6-10'!P100+'октябрь 2014г. по 0,4'!P97</f>
        <v>0</v>
      </c>
      <c r="Q100" s="31">
        <f>'октябрь 2014г. по 6-10'!Q100+'октябрь 2014г. по 0,4'!Q97</f>
        <v>0</v>
      </c>
    </row>
    <row r="101" spans="1:17" ht="12.75" customHeight="1" x14ac:dyDescent="0.2">
      <c r="A101" s="18"/>
      <c r="B101" s="53"/>
      <c r="C101" s="50" t="s">
        <v>174</v>
      </c>
      <c r="D101" s="31">
        <f>'октябрь 2014г. по 6-10'!D101+'октябрь 2014г. по 0,4'!D98</f>
        <v>5</v>
      </c>
      <c r="E101" s="31">
        <f>'октябрь 2014г. по 6-10'!E101+'октябрь 2014г. по 0,4'!E98</f>
        <v>455</v>
      </c>
      <c r="F101" s="31">
        <f>'октябрь 2014г. по 6-10'!F101+'октябрь 2014г. по 0,4'!F98</f>
        <v>5</v>
      </c>
      <c r="G101" s="31">
        <f>'октябрь 2014г. по 6-10'!G101+'октябрь 2014г. по 0,4'!G98</f>
        <v>455</v>
      </c>
      <c r="H101" s="31">
        <f>'октябрь 2014г. по 6-10'!H101+'октябрь 2014г. по 0,4'!H98</f>
        <v>0</v>
      </c>
      <c r="I101" s="31">
        <f>'октябрь 2014г. по 6-10'!I101+'октябрь 2014г. по 0,4'!I98</f>
        <v>0</v>
      </c>
      <c r="J101" s="31">
        <f>'октябрь 2014г. по 6-10'!J101+'октябрь 2014г. по 0,4'!J98</f>
        <v>0</v>
      </c>
      <c r="K101" s="31">
        <f>'октябрь 2014г. по 6-10'!K101+'октябрь 2014г. по 0,4'!K98</f>
        <v>0</v>
      </c>
      <c r="L101" s="31">
        <f>'октябрь 2014г. по 6-10'!L101+'октябрь 2014г. по 0,4'!L98</f>
        <v>0</v>
      </c>
      <c r="M101" s="31">
        <f>'октябрь 2014г. по 6-10'!M101+'октябрь 2014г. по 0,4'!M98</f>
        <v>0</v>
      </c>
      <c r="N101" s="31">
        <f>'октябрь 2014г. по 6-10'!N101+'октябрь 2014г. по 0,4'!N98</f>
        <v>0</v>
      </c>
      <c r="O101" s="31">
        <f>'октябрь 2014г. по 6-10'!O101+'октябрь 2014г. по 0,4'!O98</f>
        <v>0</v>
      </c>
      <c r="P101" s="31">
        <f>'октябрь 2014г. по 6-10'!P101+'октябрь 2014г. по 0,4'!P98</f>
        <v>0</v>
      </c>
      <c r="Q101" s="31">
        <f>'октябрь 2014г. по 6-10'!Q101+'октябрь 2014г. по 0,4'!Q98</f>
        <v>0</v>
      </c>
    </row>
    <row r="102" spans="1:17" ht="22.5" customHeight="1" x14ac:dyDescent="0.2">
      <c r="A102" s="18"/>
      <c r="B102" s="18"/>
      <c r="C102" s="20" t="s">
        <v>30</v>
      </c>
      <c r="D102" s="88">
        <f t="shared" ref="D102:Q102" si="1">SUM(D66:D101)</f>
        <v>295</v>
      </c>
      <c r="E102" s="88">
        <f t="shared" si="1"/>
        <v>10097</v>
      </c>
      <c r="F102" s="88">
        <f t="shared" si="1"/>
        <v>252</v>
      </c>
      <c r="G102" s="88">
        <f t="shared" si="1"/>
        <v>3758.5</v>
      </c>
      <c r="H102" s="88">
        <f t="shared" si="1"/>
        <v>0</v>
      </c>
      <c r="I102" s="88">
        <f t="shared" si="1"/>
        <v>0</v>
      </c>
      <c r="J102" s="88">
        <f t="shared" si="1"/>
        <v>198</v>
      </c>
      <c r="K102" s="88">
        <f t="shared" si="1"/>
        <v>3399</v>
      </c>
      <c r="L102" s="88">
        <f t="shared" si="1"/>
        <v>0</v>
      </c>
      <c r="M102" s="88">
        <f t="shared" si="1"/>
        <v>0</v>
      </c>
      <c r="N102" s="88">
        <f t="shared" si="1"/>
        <v>0</v>
      </c>
      <c r="O102" s="88">
        <f t="shared" si="1"/>
        <v>0</v>
      </c>
      <c r="P102" s="88">
        <f t="shared" si="1"/>
        <v>0</v>
      </c>
      <c r="Q102" s="88">
        <f t="shared" si="1"/>
        <v>0</v>
      </c>
    </row>
    <row r="103" spans="1:17" ht="15" x14ac:dyDescent="0.25">
      <c r="A103" s="18"/>
      <c r="B103" s="18"/>
      <c r="C103" s="55" t="s">
        <v>223</v>
      </c>
      <c r="D103" s="31"/>
      <c r="E103" s="31"/>
      <c r="F103" s="31"/>
      <c r="G103" s="31"/>
      <c r="H103" s="24"/>
      <c r="I103" s="24"/>
      <c r="J103" s="31"/>
      <c r="K103" s="31"/>
      <c r="L103" s="8"/>
      <c r="M103" s="8"/>
      <c r="N103" s="8"/>
      <c r="O103" s="8"/>
      <c r="P103" s="8"/>
      <c r="Q103" s="8"/>
    </row>
    <row r="104" spans="1:17" x14ac:dyDescent="0.2">
      <c r="A104" s="18"/>
      <c r="B104" s="53"/>
      <c r="C104" s="50" t="s">
        <v>175</v>
      </c>
      <c r="D104" s="31">
        <f>'октябрь 2014г. по 6-10'!D104+'октябрь 2014г. по 0,4'!D101</f>
        <v>81</v>
      </c>
      <c r="E104" s="31">
        <f>'октябрь 2014г. по 6-10'!E104+'октябрь 2014г. по 0,4'!E101</f>
        <v>3553</v>
      </c>
      <c r="F104" s="31">
        <f>'октябрь 2014г. по 6-10'!F104+'октябрь 2014г. по 0,4'!F101</f>
        <v>42</v>
      </c>
      <c r="G104" s="31">
        <f>'октябрь 2014г. по 6-10'!G104+'октябрь 2014г. по 0,4'!G101</f>
        <v>1927</v>
      </c>
      <c r="H104" s="31">
        <f>'октябрь 2014г. по 6-10'!H104+'октябрь 2014г. по 0,4'!H101</f>
        <v>0</v>
      </c>
      <c r="I104" s="31">
        <f>'октябрь 2014г. по 6-10'!I104+'октябрь 2014г. по 0,4'!I101</f>
        <v>0</v>
      </c>
      <c r="J104" s="31">
        <f>'октябрь 2014г. по 6-10'!J104+'октябрь 2014г. по 0,4'!J101</f>
        <v>28</v>
      </c>
      <c r="K104" s="31">
        <f>'октябрь 2014г. по 6-10'!K104+'октябрь 2014г. по 0,4'!K101</f>
        <v>796</v>
      </c>
      <c r="L104" s="31">
        <f>'октябрь 2014г. по 6-10'!L104+'октябрь 2014г. по 0,4'!L101</f>
        <v>0</v>
      </c>
      <c r="M104" s="31">
        <f>'октябрь 2014г. по 6-10'!M104+'октябрь 2014г. по 0,4'!M101</f>
        <v>0</v>
      </c>
      <c r="N104" s="31">
        <f>'октябрь 2014г. по 6-10'!N104+'октябрь 2014г. по 0,4'!N101</f>
        <v>0</v>
      </c>
      <c r="O104" s="31">
        <f>'октябрь 2014г. по 6-10'!O104+'октябрь 2014г. по 0,4'!O101</f>
        <v>0</v>
      </c>
      <c r="P104" s="31">
        <f>'октябрь 2014г. по 6-10'!P104+'октябрь 2014г. по 0,4'!P101</f>
        <v>0</v>
      </c>
      <c r="Q104" s="31">
        <f>'октябрь 2014г. по 6-10'!Q104+'октябрь 2014г. по 0,4'!Q101</f>
        <v>0</v>
      </c>
    </row>
    <row r="105" spans="1:17" x14ac:dyDescent="0.2">
      <c r="A105" s="18"/>
      <c r="B105" s="53"/>
      <c r="C105" s="50" t="s">
        <v>176</v>
      </c>
      <c r="D105" s="31">
        <f>'октябрь 2014г. по 6-10'!D105+'октябрь 2014г. по 0,4'!D102</f>
        <v>47</v>
      </c>
      <c r="E105" s="31">
        <f>'октябрь 2014г. по 6-10'!E105+'октябрь 2014г. по 0,4'!E102</f>
        <v>2244</v>
      </c>
      <c r="F105" s="31">
        <f>'октябрь 2014г. по 6-10'!F105+'октябрь 2014г. по 0,4'!F102</f>
        <v>18</v>
      </c>
      <c r="G105" s="31">
        <f>'октябрь 2014г. по 6-10'!G105+'октябрь 2014г. по 0,4'!G102</f>
        <v>235</v>
      </c>
      <c r="H105" s="31">
        <f>'октябрь 2014г. по 6-10'!H105+'октябрь 2014г. по 0,4'!H102</f>
        <v>0</v>
      </c>
      <c r="I105" s="31">
        <f>'октябрь 2014г. по 6-10'!I105+'октябрь 2014г. по 0,4'!I102</f>
        <v>0</v>
      </c>
      <c r="J105" s="31">
        <f>'октябрь 2014г. по 6-10'!J105+'октябрь 2014г. по 0,4'!J102</f>
        <v>27</v>
      </c>
      <c r="K105" s="31">
        <f>'октябрь 2014г. по 6-10'!K105+'октябрь 2014г. по 0,4'!K102</f>
        <v>435</v>
      </c>
      <c r="L105" s="31">
        <f>'октябрь 2014г. по 6-10'!L105+'октябрь 2014г. по 0,4'!L102</f>
        <v>0</v>
      </c>
      <c r="M105" s="31">
        <f>'октябрь 2014г. по 6-10'!M105+'октябрь 2014г. по 0,4'!M102</f>
        <v>0</v>
      </c>
      <c r="N105" s="31">
        <f>'октябрь 2014г. по 6-10'!N105+'октябрь 2014г. по 0,4'!N102</f>
        <v>0</v>
      </c>
      <c r="O105" s="31">
        <f>'октябрь 2014г. по 6-10'!O105+'октябрь 2014г. по 0,4'!O102</f>
        <v>0</v>
      </c>
      <c r="P105" s="31">
        <f>'октябрь 2014г. по 6-10'!P105+'октябрь 2014г. по 0,4'!P102</f>
        <v>0</v>
      </c>
      <c r="Q105" s="31">
        <f>'октябрь 2014г. по 6-10'!Q105+'октябрь 2014г. по 0,4'!Q102</f>
        <v>0</v>
      </c>
    </row>
    <row r="106" spans="1:17" x14ac:dyDescent="0.2">
      <c r="A106" s="18"/>
      <c r="B106" s="53"/>
      <c r="C106" s="50" t="s">
        <v>177</v>
      </c>
      <c r="D106" s="31">
        <f>'октябрь 2014г. по 6-10'!D106+'октябрь 2014г. по 0,4'!D103</f>
        <v>21</v>
      </c>
      <c r="E106" s="31">
        <f>'октябрь 2014г. по 6-10'!E106+'октябрь 2014г. по 0,4'!E103</f>
        <v>640</v>
      </c>
      <c r="F106" s="31">
        <f>'октябрь 2014г. по 6-10'!F106+'октябрь 2014г. по 0,4'!F103</f>
        <v>11</v>
      </c>
      <c r="G106" s="31">
        <f>'октябрь 2014г. по 6-10'!G106+'октябрь 2014г. по 0,4'!G103</f>
        <v>111</v>
      </c>
      <c r="H106" s="31">
        <f>'октябрь 2014г. по 6-10'!H106+'октябрь 2014г. по 0,4'!H103</f>
        <v>0</v>
      </c>
      <c r="I106" s="31">
        <f>'октябрь 2014г. по 6-10'!I106+'октябрь 2014г. по 0,4'!I103</f>
        <v>0</v>
      </c>
      <c r="J106" s="31">
        <f>'октябрь 2014г. по 6-10'!J106+'октябрь 2014г. по 0,4'!J103</f>
        <v>31</v>
      </c>
      <c r="K106" s="31">
        <f>'октябрь 2014г. по 6-10'!K106+'октябрь 2014г. по 0,4'!K103</f>
        <v>400</v>
      </c>
      <c r="L106" s="31">
        <f>'октябрь 2014г. по 6-10'!L106+'октябрь 2014г. по 0,4'!L103</f>
        <v>0</v>
      </c>
      <c r="M106" s="31">
        <f>'октябрь 2014г. по 6-10'!M106+'октябрь 2014г. по 0,4'!M103</f>
        <v>0</v>
      </c>
      <c r="N106" s="31">
        <f>'октябрь 2014г. по 6-10'!N106+'октябрь 2014г. по 0,4'!N103</f>
        <v>0</v>
      </c>
      <c r="O106" s="31">
        <f>'октябрь 2014г. по 6-10'!O106+'октябрь 2014г. по 0,4'!O103</f>
        <v>0</v>
      </c>
      <c r="P106" s="31">
        <f>'октябрь 2014г. по 6-10'!P106+'октябрь 2014г. по 0,4'!P103</f>
        <v>0</v>
      </c>
      <c r="Q106" s="31">
        <f>'октябрь 2014г. по 6-10'!Q106+'октябрь 2014г. по 0,4'!Q103</f>
        <v>0</v>
      </c>
    </row>
    <row r="107" spans="1:17" x14ac:dyDescent="0.2">
      <c r="A107" s="18"/>
      <c r="B107" s="53"/>
      <c r="C107" s="50" t="s">
        <v>178</v>
      </c>
      <c r="D107" s="31">
        <f>'октябрь 2014г. по 6-10'!D107+'октябрь 2014г. по 0,4'!D104</f>
        <v>35</v>
      </c>
      <c r="E107" s="31">
        <f>'октябрь 2014г. по 6-10'!E107+'октябрь 2014г. по 0,4'!E104</f>
        <v>1164</v>
      </c>
      <c r="F107" s="31">
        <f>'октябрь 2014г. по 6-10'!F107+'октябрь 2014г. по 0,4'!F104</f>
        <v>31</v>
      </c>
      <c r="G107" s="31">
        <f>'октябрь 2014г. по 6-10'!G107+'октябрь 2014г. по 0,4'!G104</f>
        <v>612</v>
      </c>
      <c r="H107" s="31">
        <f>'октябрь 2014г. по 6-10'!H107+'октябрь 2014г. по 0,4'!H104</f>
        <v>0</v>
      </c>
      <c r="I107" s="31">
        <f>'октябрь 2014г. по 6-10'!I107+'октябрь 2014г. по 0,4'!I104</f>
        <v>0</v>
      </c>
      <c r="J107" s="31">
        <f>'октябрь 2014г. по 6-10'!J107+'октябрь 2014г. по 0,4'!J104</f>
        <v>22</v>
      </c>
      <c r="K107" s="31">
        <f>'октябрь 2014г. по 6-10'!K107+'октябрь 2014г. по 0,4'!K104</f>
        <v>154</v>
      </c>
      <c r="L107" s="31">
        <f>'октябрь 2014г. по 6-10'!L107+'октябрь 2014г. по 0,4'!L104</f>
        <v>0</v>
      </c>
      <c r="M107" s="31">
        <f>'октябрь 2014г. по 6-10'!M107+'октябрь 2014г. по 0,4'!M104</f>
        <v>0</v>
      </c>
      <c r="N107" s="31">
        <f>'октябрь 2014г. по 6-10'!N107+'октябрь 2014г. по 0,4'!N104</f>
        <v>0</v>
      </c>
      <c r="O107" s="31">
        <f>'октябрь 2014г. по 6-10'!O107+'октябрь 2014г. по 0,4'!O104</f>
        <v>0</v>
      </c>
      <c r="P107" s="31">
        <f>'октябрь 2014г. по 6-10'!P107+'октябрь 2014г. по 0,4'!P104</f>
        <v>0</v>
      </c>
      <c r="Q107" s="31">
        <f>'октябрь 2014г. по 6-10'!Q107+'октябрь 2014г. по 0,4'!Q104</f>
        <v>0</v>
      </c>
    </row>
    <row r="108" spans="1:17" x14ac:dyDescent="0.2">
      <c r="A108" s="18"/>
      <c r="B108" s="53"/>
      <c r="C108" s="50" t="s">
        <v>179</v>
      </c>
      <c r="D108" s="31">
        <f>'октябрь 2014г. по 6-10'!D108+'октябрь 2014г. по 0,4'!D105</f>
        <v>18</v>
      </c>
      <c r="E108" s="31">
        <f>'октябрь 2014г. по 6-10'!E108+'октябрь 2014г. по 0,4'!E105</f>
        <v>791</v>
      </c>
      <c r="F108" s="31">
        <f>'октябрь 2014г. по 6-10'!F108+'октябрь 2014г. по 0,4'!F105</f>
        <v>15</v>
      </c>
      <c r="G108" s="31">
        <f>'октябрь 2014г. по 6-10'!G108+'октябрь 2014г. по 0,4'!G105</f>
        <v>291</v>
      </c>
      <c r="H108" s="31">
        <f>'октябрь 2014г. по 6-10'!H108+'октябрь 2014г. по 0,4'!H105</f>
        <v>0</v>
      </c>
      <c r="I108" s="31">
        <f>'октябрь 2014г. по 6-10'!I108+'октябрь 2014г. по 0,4'!I105</f>
        <v>0</v>
      </c>
      <c r="J108" s="31">
        <f>'октябрь 2014г. по 6-10'!J108+'октябрь 2014г. по 0,4'!J105</f>
        <v>24</v>
      </c>
      <c r="K108" s="31">
        <f>'октябрь 2014г. по 6-10'!K108+'октябрь 2014г. по 0,4'!K105</f>
        <v>140</v>
      </c>
      <c r="L108" s="31">
        <f>'октябрь 2014г. по 6-10'!L108+'октябрь 2014г. по 0,4'!L105</f>
        <v>0</v>
      </c>
      <c r="M108" s="31">
        <f>'октябрь 2014г. по 6-10'!M108+'октябрь 2014г. по 0,4'!M105</f>
        <v>0</v>
      </c>
      <c r="N108" s="31">
        <f>'октябрь 2014г. по 6-10'!N108+'октябрь 2014г. по 0,4'!N105</f>
        <v>0</v>
      </c>
      <c r="O108" s="31">
        <f>'октябрь 2014г. по 6-10'!O108+'октябрь 2014г. по 0,4'!O105</f>
        <v>0</v>
      </c>
      <c r="P108" s="31">
        <f>'октябрь 2014г. по 6-10'!P108+'октябрь 2014г. по 0,4'!P105</f>
        <v>0</v>
      </c>
      <c r="Q108" s="31">
        <f>'октябрь 2014г. по 6-10'!Q108+'октябрь 2014г. по 0,4'!Q105</f>
        <v>0</v>
      </c>
    </row>
    <row r="109" spans="1:17" x14ac:dyDescent="0.2">
      <c r="A109" s="18"/>
      <c r="B109" s="53"/>
      <c r="C109" s="50" t="s">
        <v>180</v>
      </c>
      <c r="D109" s="31">
        <f>'октябрь 2014г. по 6-10'!D109+'октябрь 2014г. по 0,4'!D106</f>
        <v>13</v>
      </c>
      <c r="E109" s="31">
        <f>'октябрь 2014г. по 6-10'!E109+'октябрь 2014г. по 0,4'!E106</f>
        <v>868.5</v>
      </c>
      <c r="F109" s="31">
        <f>'октябрь 2014г. по 6-10'!F109+'октябрь 2014г. по 0,4'!F106</f>
        <v>9</v>
      </c>
      <c r="G109" s="31">
        <f>'октябрь 2014г. по 6-10'!G109+'октябрь 2014г. по 0,4'!G106</f>
        <v>143.5</v>
      </c>
      <c r="H109" s="31">
        <f>'октябрь 2014г. по 6-10'!H109+'октябрь 2014г. по 0,4'!H106</f>
        <v>0</v>
      </c>
      <c r="I109" s="31">
        <f>'октябрь 2014г. по 6-10'!I109+'октябрь 2014г. по 0,4'!I106</f>
        <v>0</v>
      </c>
      <c r="J109" s="31">
        <f>'октябрь 2014г. по 6-10'!J109+'октябрь 2014г. по 0,4'!J106</f>
        <v>35</v>
      </c>
      <c r="K109" s="31">
        <f>'октябрь 2014г. по 6-10'!K109+'октябрь 2014г. по 0,4'!K106</f>
        <v>180</v>
      </c>
      <c r="L109" s="31">
        <f>'октябрь 2014г. по 6-10'!L109+'октябрь 2014г. по 0,4'!L106</f>
        <v>0</v>
      </c>
      <c r="M109" s="31">
        <f>'октябрь 2014г. по 6-10'!M109+'октябрь 2014г. по 0,4'!M106</f>
        <v>0</v>
      </c>
      <c r="N109" s="31">
        <f>'октябрь 2014г. по 6-10'!N109+'октябрь 2014г. по 0,4'!N106</f>
        <v>0</v>
      </c>
      <c r="O109" s="31">
        <f>'октябрь 2014г. по 6-10'!O109+'октябрь 2014г. по 0,4'!O106</f>
        <v>0</v>
      </c>
      <c r="P109" s="31">
        <f>'октябрь 2014г. по 6-10'!P109+'октябрь 2014г. по 0,4'!P106</f>
        <v>0</v>
      </c>
      <c r="Q109" s="31">
        <f>'октябрь 2014г. по 6-10'!Q109+'октябрь 2014г. по 0,4'!Q106</f>
        <v>0</v>
      </c>
    </row>
    <row r="110" spans="1:17" x14ac:dyDescent="0.2">
      <c r="A110" s="18"/>
      <c r="B110" s="53"/>
      <c r="C110" s="50" t="s">
        <v>181</v>
      </c>
      <c r="D110" s="31">
        <f>'октябрь 2014г. по 6-10'!D110+'октябрь 2014г. по 0,4'!D107</f>
        <v>10</v>
      </c>
      <c r="E110" s="31">
        <f>'октябрь 2014г. по 6-10'!E110+'октябрь 2014г. по 0,4'!E107</f>
        <v>312</v>
      </c>
      <c r="F110" s="31">
        <f>'октябрь 2014г. по 6-10'!F110+'октябрь 2014г. по 0,4'!F107</f>
        <v>10</v>
      </c>
      <c r="G110" s="31">
        <f>'октябрь 2014г. по 6-10'!G110+'октябрь 2014г. по 0,4'!G107</f>
        <v>112</v>
      </c>
      <c r="H110" s="31">
        <f>'октябрь 2014г. по 6-10'!H110+'октябрь 2014г. по 0,4'!H107</f>
        <v>0</v>
      </c>
      <c r="I110" s="31">
        <f>'октябрь 2014г. по 6-10'!I110+'октябрь 2014г. по 0,4'!I107</f>
        <v>0</v>
      </c>
      <c r="J110" s="31">
        <f>'октябрь 2014г. по 6-10'!J110+'октябрь 2014г. по 0,4'!J107</f>
        <v>15</v>
      </c>
      <c r="K110" s="31">
        <f>'октябрь 2014г. по 6-10'!K110+'октябрь 2014г. по 0,4'!K107</f>
        <v>72</v>
      </c>
      <c r="L110" s="31">
        <f>'октябрь 2014г. по 6-10'!L110+'октябрь 2014г. по 0,4'!L107</f>
        <v>0</v>
      </c>
      <c r="M110" s="31">
        <f>'октябрь 2014г. по 6-10'!M110+'октябрь 2014г. по 0,4'!M107</f>
        <v>0</v>
      </c>
      <c r="N110" s="31">
        <f>'октябрь 2014г. по 6-10'!N110+'октябрь 2014г. по 0,4'!N107</f>
        <v>0</v>
      </c>
      <c r="O110" s="31">
        <f>'октябрь 2014г. по 6-10'!O110+'октябрь 2014г. по 0,4'!O107</f>
        <v>0</v>
      </c>
      <c r="P110" s="31">
        <f>'октябрь 2014г. по 6-10'!P110+'октябрь 2014г. по 0,4'!P107</f>
        <v>0</v>
      </c>
      <c r="Q110" s="31">
        <f>'октябрь 2014г. по 6-10'!Q110+'октябрь 2014г. по 0,4'!Q107</f>
        <v>0</v>
      </c>
    </row>
    <row r="111" spans="1:17" x14ac:dyDescent="0.2">
      <c r="A111" s="18"/>
      <c r="B111" s="53"/>
      <c r="C111" s="50" t="s">
        <v>182</v>
      </c>
      <c r="D111" s="31">
        <f>'октябрь 2014г. по 6-10'!D111+'октябрь 2014г. по 0,4'!D108</f>
        <v>41</v>
      </c>
      <c r="E111" s="31">
        <f>'октябрь 2014г. по 6-10'!E111+'октябрь 2014г. по 0,4'!E108</f>
        <v>810</v>
      </c>
      <c r="F111" s="31">
        <f>'октябрь 2014г. по 6-10'!F111+'октябрь 2014г. по 0,4'!F108</f>
        <v>30</v>
      </c>
      <c r="G111" s="31">
        <f>'октябрь 2014г. по 6-10'!G111+'октябрь 2014г. по 0,4'!G108</f>
        <v>314.5</v>
      </c>
      <c r="H111" s="31">
        <f>'октябрь 2014г. по 6-10'!H111+'октябрь 2014г. по 0,4'!H108</f>
        <v>0</v>
      </c>
      <c r="I111" s="31">
        <f>'октябрь 2014г. по 6-10'!I111+'октябрь 2014г. по 0,4'!I108</f>
        <v>0</v>
      </c>
      <c r="J111" s="31">
        <f>'октябрь 2014г. по 6-10'!J111+'октябрь 2014г. по 0,4'!J108</f>
        <v>3</v>
      </c>
      <c r="K111" s="31">
        <f>'октябрь 2014г. по 6-10'!K111+'октябрь 2014г. по 0,4'!K108</f>
        <v>55</v>
      </c>
      <c r="L111" s="31">
        <f>'октябрь 2014г. по 6-10'!L111+'октябрь 2014г. по 0,4'!L108</f>
        <v>0</v>
      </c>
      <c r="M111" s="31">
        <f>'октябрь 2014г. по 6-10'!M111+'октябрь 2014г. по 0,4'!M108</f>
        <v>0</v>
      </c>
      <c r="N111" s="31">
        <f>'октябрь 2014г. по 6-10'!N111+'октябрь 2014г. по 0,4'!N108</f>
        <v>0</v>
      </c>
      <c r="O111" s="31">
        <f>'октябрь 2014г. по 6-10'!O111+'октябрь 2014г. по 0,4'!O108</f>
        <v>0</v>
      </c>
      <c r="P111" s="31">
        <f>'октябрь 2014г. по 6-10'!P111+'октябрь 2014г. по 0,4'!P108</f>
        <v>0</v>
      </c>
      <c r="Q111" s="31">
        <f>'октябрь 2014г. по 6-10'!Q111+'октябрь 2014г. по 0,4'!Q108</f>
        <v>0</v>
      </c>
    </row>
    <row r="112" spans="1:17" x14ac:dyDescent="0.2">
      <c r="A112" s="18"/>
      <c r="B112" s="53"/>
      <c r="C112" s="50" t="s">
        <v>183</v>
      </c>
      <c r="D112" s="31">
        <f>'октябрь 2014г. по 6-10'!D112+'октябрь 2014г. по 0,4'!D109</f>
        <v>14</v>
      </c>
      <c r="E112" s="31">
        <f>'октябрь 2014г. по 6-10'!E112+'октябрь 2014г. по 0,4'!E109</f>
        <v>88</v>
      </c>
      <c r="F112" s="31">
        <f>'октябрь 2014г. по 6-10'!F112+'октябрь 2014г. по 0,4'!F109</f>
        <v>14</v>
      </c>
      <c r="G112" s="31">
        <f>'октябрь 2014г. по 6-10'!G112+'октябрь 2014г. по 0,4'!G109</f>
        <v>88</v>
      </c>
      <c r="H112" s="31">
        <f>'октябрь 2014г. по 6-10'!H112+'октябрь 2014г. по 0,4'!H109</f>
        <v>0</v>
      </c>
      <c r="I112" s="31">
        <f>'октябрь 2014г. по 6-10'!I112+'октябрь 2014г. по 0,4'!I109</f>
        <v>0</v>
      </c>
      <c r="J112" s="31">
        <f>'октябрь 2014г. по 6-10'!J112+'октябрь 2014г. по 0,4'!J109</f>
        <v>1</v>
      </c>
      <c r="K112" s="31">
        <f>'октябрь 2014г. по 6-10'!K112+'октябрь 2014г. по 0,4'!K109</f>
        <v>6</v>
      </c>
      <c r="L112" s="31">
        <f>'октябрь 2014г. по 6-10'!L112+'октябрь 2014г. по 0,4'!L109</f>
        <v>0</v>
      </c>
      <c r="M112" s="31">
        <f>'октябрь 2014г. по 6-10'!M112+'октябрь 2014г. по 0,4'!M109</f>
        <v>0</v>
      </c>
      <c r="N112" s="31">
        <f>'октябрь 2014г. по 6-10'!N112+'октябрь 2014г. по 0,4'!N109</f>
        <v>0</v>
      </c>
      <c r="O112" s="31">
        <f>'октябрь 2014г. по 6-10'!O112+'октябрь 2014г. по 0,4'!O109</f>
        <v>0</v>
      </c>
      <c r="P112" s="31">
        <f>'октябрь 2014г. по 6-10'!P112+'октябрь 2014г. по 0,4'!P109</f>
        <v>0</v>
      </c>
      <c r="Q112" s="31">
        <f>'октябрь 2014г. по 6-10'!Q112+'октябрь 2014г. по 0,4'!Q109</f>
        <v>0</v>
      </c>
    </row>
    <row r="113" spans="1:17" x14ac:dyDescent="0.2">
      <c r="A113" s="18"/>
      <c r="B113" s="53"/>
      <c r="C113" s="50" t="s">
        <v>184</v>
      </c>
      <c r="D113" s="31">
        <f>'октябрь 2014г. по 6-10'!D113+'октябрь 2014г. по 0,4'!D110</f>
        <v>8</v>
      </c>
      <c r="E113" s="31">
        <f>'октябрь 2014г. по 6-10'!E113+'октябрь 2014г. по 0,4'!E110</f>
        <v>44.4</v>
      </c>
      <c r="F113" s="31">
        <f>'октябрь 2014г. по 6-10'!F113+'октябрь 2014г. по 0,4'!F110</f>
        <v>8</v>
      </c>
      <c r="G113" s="31">
        <f>'октябрь 2014г. по 6-10'!G113+'октябрь 2014г. по 0,4'!G110</f>
        <v>44.4</v>
      </c>
      <c r="H113" s="31">
        <f>'октябрь 2014г. по 6-10'!H113+'октябрь 2014г. по 0,4'!H110</f>
        <v>0</v>
      </c>
      <c r="I113" s="31">
        <f>'октябрь 2014г. по 6-10'!I113+'октябрь 2014г. по 0,4'!I110</f>
        <v>0</v>
      </c>
      <c r="J113" s="31">
        <f>'октябрь 2014г. по 6-10'!J113+'октябрь 2014г. по 0,4'!J110</f>
        <v>0</v>
      </c>
      <c r="K113" s="31">
        <f>'октябрь 2014г. по 6-10'!K113+'октябрь 2014г. по 0,4'!K110</f>
        <v>0</v>
      </c>
      <c r="L113" s="31">
        <f>'октябрь 2014г. по 6-10'!L113+'октябрь 2014г. по 0,4'!L110</f>
        <v>0</v>
      </c>
      <c r="M113" s="31">
        <f>'октябрь 2014г. по 6-10'!M113+'октябрь 2014г. по 0,4'!M110</f>
        <v>0</v>
      </c>
      <c r="N113" s="31">
        <f>'октябрь 2014г. по 6-10'!N113+'октябрь 2014г. по 0,4'!N110</f>
        <v>0</v>
      </c>
      <c r="O113" s="31">
        <f>'октябрь 2014г. по 6-10'!O113+'октябрь 2014г. по 0,4'!O110</f>
        <v>0</v>
      </c>
      <c r="P113" s="31">
        <f>'октябрь 2014г. по 6-10'!P113+'октябрь 2014г. по 0,4'!P110</f>
        <v>0</v>
      </c>
      <c r="Q113" s="31">
        <f>'октябрь 2014г. по 6-10'!Q113+'октябрь 2014г. по 0,4'!Q110</f>
        <v>0</v>
      </c>
    </row>
    <row r="114" spans="1:17" x14ac:dyDescent="0.2">
      <c r="A114" s="18"/>
      <c r="B114" s="53"/>
      <c r="C114" s="50" t="s">
        <v>185</v>
      </c>
      <c r="D114" s="31">
        <f>'октябрь 2014г. по 6-10'!D114+'октябрь 2014г. по 0,4'!D111</f>
        <v>13</v>
      </c>
      <c r="E114" s="31">
        <f>'октябрь 2014г. по 6-10'!E114+'октябрь 2014г. по 0,4'!E111</f>
        <v>1005.5</v>
      </c>
      <c r="F114" s="31">
        <f>'октябрь 2014г. по 6-10'!F114+'октябрь 2014г. по 0,4'!F111</f>
        <v>7</v>
      </c>
      <c r="G114" s="31">
        <f>'октябрь 2014г. по 6-10'!G114+'октябрь 2014г. по 0,4'!G111</f>
        <v>459.5</v>
      </c>
      <c r="H114" s="31">
        <f>'октябрь 2014г. по 6-10'!H114+'октябрь 2014г. по 0,4'!H111</f>
        <v>0</v>
      </c>
      <c r="I114" s="31">
        <f>'октябрь 2014г. по 6-10'!I114+'октябрь 2014г. по 0,4'!I111</f>
        <v>0</v>
      </c>
      <c r="J114" s="31">
        <f>'октябрь 2014г. по 6-10'!J114+'октябрь 2014г. по 0,4'!J111</f>
        <v>9</v>
      </c>
      <c r="K114" s="31">
        <f>'октябрь 2014г. по 6-10'!K114+'октябрь 2014г. по 0,4'!K111</f>
        <v>87</v>
      </c>
      <c r="L114" s="31">
        <f>'октябрь 2014г. по 6-10'!L114+'октябрь 2014г. по 0,4'!L111</f>
        <v>0</v>
      </c>
      <c r="M114" s="31">
        <f>'октябрь 2014г. по 6-10'!M114+'октябрь 2014г. по 0,4'!M111</f>
        <v>0</v>
      </c>
      <c r="N114" s="31">
        <f>'октябрь 2014г. по 6-10'!N114+'октябрь 2014г. по 0,4'!N111</f>
        <v>0</v>
      </c>
      <c r="O114" s="31">
        <f>'октябрь 2014г. по 6-10'!O114+'октябрь 2014г. по 0,4'!O111</f>
        <v>0</v>
      </c>
      <c r="P114" s="31">
        <f>'октябрь 2014г. по 6-10'!P114+'октябрь 2014г. по 0,4'!P111</f>
        <v>0</v>
      </c>
      <c r="Q114" s="31">
        <f>'октябрь 2014г. по 6-10'!Q114+'октябрь 2014г. по 0,4'!Q111</f>
        <v>0</v>
      </c>
    </row>
    <row r="115" spans="1:17" x14ac:dyDescent="0.2">
      <c r="A115" s="18"/>
      <c r="B115" s="53"/>
      <c r="C115" s="50" t="s">
        <v>186</v>
      </c>
      <c r="D115" s="31">
        <f>'октябрь 2014г. по 6-10'!D115+'октябрь 2014г. по 0,4'!D112</f>
        <v>1</v>
      </c>
      <c r="E115" s="31">
        <f>'октябрь 2014г. по 6-10'!E115+'октябрь 2014г. по 0,4'!E112</f>
        <v>100</v>
      </c>
      <c r="F115" s="31">
        <f>'октябрь 2014г. по 6-10'!F115+'октябрь 2014г. по 0,4'!F112</f>
        <v>1</v>
      </c>
      <c r="G115" s="31">
        <f>'октябрь 2014г. по 6-10'!G115+'октябрь 2014г. по 0,4'!G112</f>
        <v>4.4000000000000004</v>
      </c>
      <c r="H115" s="31">
        <f>'октябрь 2014г. по 6-10'!H115+'октябрь 2014г. по 0,4'!H112</f>
        <v>0</v>
      </c>
      <c r="I115" s="31">
        <f>'октябрь 2014г. по 6-10'!I115+'октябрь 2014г. по 0,4'!I112</f>
        <v>0</v>
      </c>
      <c r="J115" s="31">
        <f>'октябрь 2014г. по 6-10'!J115+'октябрь 2014г. по 0,4'!J112</f>
        <v>0</v>
      </c>
      <c r="K115" s="31">
        <f>'октябрь 2014г. по 6-10'!K115+'октябрь 2014г. по 0,4'!K112</f>
        <v>0</v>
      </c>
      <c r="L115" s="31">
        <f>'октябрь 2014г. по 6-10'!L115+'октябрь 2014г. по 0,4'!L112</f>
        <v>0</v>
      </c>
      <c r="M115" s="31">
        <f>'октябрь 2014г. по 6-10'!M115+'октябрь 2014г. по 0,4'!M112</f>
        <v>0</v>
      </c>
      <c r="N115" s="31">
        <f>'октябрь 2014г. по 6-10'!N115+'октябрь 2014г. по 0,4'!N112</f>
        <v>0</v>
      </c>
      <c r="O115" s="31">
        <f>'октябрь 2014г. по 6-10'!O115+'октябрь 2014г. по 0,4'!O112</f>
        <v>0</v>
      </c>
      <c r="P115" s="31">
        <f>'октябрь 2014г. по 6-10'!P115+'октябрь 2014г. по 0,4'!P112</f>
        <v>0</v>
      </c>
      <c r="Q115" s="31">
        <f>'октябрь 2014г. по 6-10'!Q115+'октябрь 2014г. по 0,4'!Q112</f>
        <v>0</v>
      </c>
    </row>
    <row r="116" spans="1:17" x14ac:dyDescent="0.2">
      <c r="A116" s="18"/>
      <c r="B116" s="53"/>
      <c r="C116" s="50" t="s">
        <v>187</v>
      </c>
      <c r="D116" s="31">
        <f>'октябрь 2014г. по 6-10'!D116+'октябрь 2014г. по 0,4'!D113</f>
        <v>0</v>
      </c>
      <c r="E116" s="31">
        <f>'октябрь 2014г. по 6-10'!E116+'октябрь 2014г. по 0,4'!E113</f>
        <v>0</v>
      </c>
      <c r="F116" s="31">
        <f>'октябрь 2014г. по 6-10'!F116+'октябрь 2014г. по 0,4'!F113</f>
        <v>0</v>
      </c>
      <c r="G116" s="31">
        <f>'октябрь 2014г. по 6-10'!G116+'октябрь 2014г. по 0,4'!G113</f>
        <v>0</v>
      </c>
      <c r="H116" s="31">
        <f>'октябрь 2014г. по 6-10'!H116+'октябрь 2014г. по 0,4'!H113</f>
        <v>0</v>
      </c>
      <c r="I116" s="31">
        <f>'октябрь 2014г. по 6-10'!I116+'октябрь 2014г. по 0,4'!I113</f>
        <v>0</v>
      </c>
      <c r="J116" s="31">
        <f>'октябрь 2014г. по 6-10'!J116+'октябрь 2014г. по 0,4'!J113</f>
        <v>0</v>
      </c>
      <c r="K116" s="31">
        <f>'октябрь 2014г. по 6-10'!K116+'октябрь 2014г. по 0,4'!K113</f>
        <v>0</v>
      </c>
      <c r="L116" s="31">
        <f>'октябрь 2014г. по 6-10'!L116+'октябрь 2014г. по 0,4'!L113</f>
        <v>0</v>
      </c>
      <c r="M116" s="31">
        <f>'октябрь 2014г. по 6-10'!M116+'октябрь 2014г. по 0,4'!M113</f>
        <v>0</v>
      </c>
      <c r="N116" s="31">
        <f>'октябрь 2014г. по 6-10'!N116+'октябрь 2014г. по 0,4'!N113</f>
        <v>0</v>
      </c>
      <c r="O116" s="31">
        <f>'октябрь 2014г. по 6-10'!O116+'октябрь 2014г. по 0,4'!O113</f>
        <v>0</v>
      </c>
      <c r="P116" s="31">
        <f>'октябрь 2014г. по 6-10'!P116+'октябрь 2014г. по 0,4'!P113</f>
        <v>0</v>
      </c>
      <c r="Q116" s="31">
        <f>'октябрь 2014г. по 6-10'!Q116+'октябрь 2014г. по 0,4'!Q113</f>
        <v>0</v>
      </c>
    </row>
    <row r="117" spans="1:17" x14ac:dyDescent="0.2">
      <c r="A117" s="18"/>
      <c r="B117" s="53"/>
      <c r="C117" s="50" t="s">
        <v>188</v>
      </c>
      <c r="D117" s="31">
        <f>'октябрь 2014г. по 6-10'!D117+'октябрь 2014г. по 0,4'!D114</f>
        <v>39</v>
      </c>
      <c r="E117" s="31">
        <f>'октябрь 2014г. по 6-10'!E117+'октябрь 2014г. по 0,4'!E114</f>
        <v>2215.9</v>
      </c>
      <c r="F117" s="31">
        <f>'октябрь 2014г. по 6-10'!F117+'октябрь 2014г. по 0,4'!F114</f>
        <v>30</v>
      </c>
      <c r="G117" s="31">
        <f>'октябрь 2014г. по 6-10'!G117+'октябрь 2014г. по 0,4'!G114</f>
        <v>1282.9000000000001</v>
      </c>
      <c r="H117" s="31">
        <f>'октябрь 2014г. по 6-10'!H117+'октябрь 2014г. по 0,4'!H114</f>
        <v>0</v>
      </c>
      <c r="I117" s="31">
        <f>'октябрь 2014г. по 6-10'!I117+'октябрь 2014г. по 0,4'!I114</f>
        <v>0</v>
      </c>
      <c r="J117" s="31">
        <f>'октябрь 2014г. по 6-10'!J117+'октябрь 2014г. по 0,4'!J114</f>
        <v>60</v>
      </c>
      <c r="K117" s="31">
        <f>'октябрь 2014г. по 6-10'!K117+'октябрь 2014г. по 0,4'!K114</f>
        <v>1030</v>
      </c>
      <c r="L117" s="31">
        <f>'октябрь 2014г. по 6-10'!L117+'октябрь 2014г. по 0,4'!L114</f>
        <v>0</v>
      </c>
      <c r="M117" s="31">
        <f>'октябрь 2014г. по 6-10'!M117+'октябрь 2014г. по 0,4'!M114</f>
        <v>0</v>
      </c>
      <c r="N117" s="31">
        <f>'октябрь 2014г. по 6-10'!N117+'октябрь 2014г. по 0,4'!N114</f>
        <v>0</v>
      </c>
      <c r="O117" s="31">
        <f>'октябрь 2014г. по 6-10'!O117+'октябрь 2014г. по 0,4'!O114</f>
        <v>0</v>
      </c>
      <c r="P117" s="31">
        <f>'октябрь 2014г. по 6-10'!P117+'октябрь 2014г. по 0,4'!P114</f>
        <v>0</v>
      </c>
      <c r="Q117" s="31">
        <f>'октябрь 2014г. по 6-10'!Q117+'октябрь 2014г. по 0,4'!Q114</f>
        <v>0</v>
      </c>
    </row>
    <row r="118" spans="1:17" x14ac:dyDescent="0.2">
      <c r="A118" s="18"/>
      <c r="B118" s="53"/>
      <c r="C118" s="50" t="s">
        <v>189</v>
      </c>
      <c r="D118" s="31">
        <f>'октябрь 2014г. по 6-10'!D118+'октябрь 2014г. по 0,4'!D115</f>
        <v>11</v>
      </c>
      <c r="E118" s="31">
        <f>'октябрь 2014г. по 6-10'!E118+'октябрь 2014г. по 0,4'!E115</f>
        <v>1331</v>
      </c>
      <c r="F118" s="31">
        <f>'октябрь 2014г. по 6-10'!F118+'октябрь 2014г. по 0,4'!F115</f>
        <v>7</v>
      </c>
      <c r="G118" s="31">
        <f>'октябрь 2014г. по 6-10'!G118+'октябрь 2014г. по 0,4'!G115</f>
        <v>156</v>
      </c>
      <c r="H118" s="31">
        <f>'октябрь 2014г. по 6-10'!H118+'октябрь 2014г. по 0,4'!H115</f>
        <v>0</v>
      </c>
      <c r="I118" s="31">
        <f>'октябрь 2014г. по 6-10'!I118+'октябрь 2014г. по 0,4'!I115</f>
        <v>0</v>
      </c>
      <c r="J118" s="31">
        <f>'октябрь 2014г. по 6-10'!J118+'октябрь 2014г. по 0,4'!J115</f>
        <v>1</v>
      </c>
      <c r="K118" s="31">
        <f>'октябрь 2014г. по 6-10'!K118+'октябрь 2014г. по 0,4'!K115</f>
        <v>40</v>
      </c>
      <c r="L118" s="31">
        <f>'октябрь 2014г. по 6-10'!L118+'октябрь 2014г. по 0,4'!L115</f>
        <v>0</v>
      </c>
      <c r="M118" s="31">
        <f>'октябрь 2014г. по 6-10'!M118+'октябрь 2014г. по 0,4'!M115</f>
        <v>0</v>
      </c>
      <c r="N118" s="31">
        <f>'октябрь 2014г. по 6-10'!N118+'октябрь 2014г. по 0,4'!N115</f>
        <v>0</v>
      </c>
      <c r="O118" s="31">
        <f>'октябрь 2014г. по 6-10'!O118+'октябрь 2014г. по 0,4'!O115</f>
        <v>0</v>
      </c>
      <c r="P118" s="31">
        <f>'октябрь 2014г. по 6-10'!P118+'октябрь 2014г. по 0,4'!P115</f>
        <v>0</v>
      </c>
      <c r="Q118" s="31">
        <f>'октябрь 2014г. по 6-10'!Q118+'октябрь 2014г. по 0,4'!Q115</f>
        <v>0</v>
      </c>
    </row>
    <row r="119" spans="1:17" x14ac:dyDescent="0.2">
      <c r="A119" s="18"/>
      <c r="B119" s="53"/>
      <c r="C119" s="50" t="s">
        <v>190</v>
      </c>
      <c r="D119" s="31">
        <f>'октябрь 2014г. по 6-10'!D119+'октябрь 2014г. по 0,4'!D116</f>
        <v>5</v>
      </c>
      <c r="E119" s="31">
        <f>'октябрь 2014г. по 6-10'!E119+'октябрь 2014г. по 0,4'!E116</f>
        <v>241</v>
      </c>
      <c r="F119" s="31">
        <f>'октябрь 2014г. по 6-10'!F119+'октябрь 2014г. по 0,4'!F116</f>
        <v>5</v>
      </c>
      <c r="G119" s="31">
        <f>'октябрь 2014г. по 6-10'!G119+'октябрь 2014г. по 0,4'!G116</f>
        <v>241</v>
      </c>
      <c r="H119" s="31">
        <f>'октябрь 2014г. по 6-10'!H119+'октябрь 2014г. по 0,4'!H116</f>
        <v>0</v>
      </c>
      <c r="I119" s="31">
        <f>'октябрь 2014г. по 6-10'!I119+'октябрь 2014г. по 0,4'!I116</f>
        <v>0</v>
      </c>
      <c r="J119" s="31">
        <f>'октябрь 2014г. по 6-10'!J119+'октябрь 2014г. по 0,4'!J116</f>
        <v>0</v>
      </c>
      <c r="K119" s="31">
        <f>'октябрь 2014г. по 6-10'!K119+'октябрь 2014г. по 0,4'!K116</f>
        <v>0</v>
      </c>
      <c r="L119" s="31">
        <f>'октябрь 2014г. по 6-10'!L119+'октябрь 2014г. по 0,4'!L116</f>
        <v>0</v>
      </c>
      <c r="M119" s="31">
        <f>'октябрь 2014г. по 6-10'!M119+'октябрь 2014г. по 0,4'!M116</f>
        <v>0</v>
      </c>
      <c r="N119" s="31">
        <f>'октябрь 2014г. по 6-10'!N119+'октябрь 2014г. по 0,4'!N116</f>
        <v>0</v>
      </c>
      <c r="O119" s="31">
        <f>'октябрь 2014г. по 6-10'!O119+'октябрь 2014г. по 0,4'!O116</f>
        <v>0</v>
      </c>
      <c r="P119" s="31">
        <f>'октябрь 2014г. по 6-10'!P119+'октябрь 2014г. по 0,4'!P116</f>
        <v>0</v>
      </c>
      <c r="Q119" s="31">
        <f>'октябрь 2014г. по 6-10'!Q119+'октябрь 2014г. по 0,4'!Q116</f>
        <v>0</v>
      </c>
    </row>
    <row r="120" spans="1:17" x14ac:dyDescent="0.2">
      <c r="A120" s="18"/>
      <c r="B120" s="53"/>
      <c r="C120" s="50" t="s">
        <v>191</v>
      </c>
      <c r="D120" s="31">
        <f>'октябрь 2014г. по 6-10'!D120+'октябрь 2014г. по 0,4'!D117</f>
        <v>0</v>
      </c>
      <c r="E120" s="31">
        <f>'октябрь 2014г. по 6-10'!E120+'октябрь 2014г. по 0,4'!E117</f>
        <v>0</v>
      </c>
      <c r="F120" s="31">
        <f>'октябрь 2014г. по 6-10'!F120+'октябрь 2014г. по 0,4'!F117</f>
        <v>0</v>
      </c>
      <c r="G120" s="31">
        <f>'октябрь 2014г. по 6-10'!G120+'октябрь 2014г. по 0,4'!G117</f>
        <v>0</v>
      </c>
      <c r="H120" s="31">
        <f>'октябрь 2014г. по 6-10'!H120+'октябрь 2014г. по 0,4'!H117</f>
        <v>0</v>
      </c>
      <c r="I120" s="31">
        <f>'октябрь 2014г. по 6-10'!I120+'октябрь 2014г. по 0,4'!I117</f>
        <v>0</v>
      </c>
      <c r="J120" s="31">
        <f>'октябрь 2014г. по 6-10'!J120+'октябрь 2014г. по 0,4'!J117</f>
        <v>0</v>
      </c>
      <c r="K120" s="31">
        <f>'октябрь 2014г. по 6-10'!K120+'октябрь 2014г. по 0,4'!K117</f>
        <v>0</v>
      </c>
      <c r="L120" s="31">
        <f>'октябрь 2014г. по 6-10'!L120+'октябрь 2014г. по 0,4'!L117</f>
        <v>0</v>
      </c>
      <c r="M120" s="31">
        <f>'октябрь 2014г. по 6-10'!M120+'октябрь 2014г. по 0,4'!M117</f>
        <v>0</v>
      </c>
      <c r="N120" s="31">
        <f>'октябрь 2014г. по 6-10'!N120+'октябрь 2014г. по 0,4'!N117</f>
        <v>0</v>
      </c>
      <c r="O120" s="31">
        <f>'октябрь 2014г. по 6-10'!O120+'октябрь 2014г. по 0,4'!O117</f>
        <v>0</v>
      </c>
      <c r="P120" s="31">
        <f>'октябрь 2014г. по 6-10'!P120+'октябрь 2014г. по 0,4'!P117</f>
        <v>0</v>
      </c>
      <c r="Q120" s="31">
        <f>'октябрь 2014г. по 6-10'!Q120+'октябрь 2014г. по 0,4'!Q117</f>
        <v>0</v>
      </c>
    </row>
    <row r="121" spans="1:17" x14ac:dyDescent="0.2">
      <c r="A121" s="18"/>
      <c r="B121" s="53"/>
      <c r="C121" s="50" t="s">
        <v>192</v>
      </c>
      <c r="D121" s="31">
        <f>'октябрь 2014г. по 6-10'!D121+'октябрь 2014г. по 0,4'!D118</f>
        <v>0</v>
      </c>
      <c r="E121" s="31">
        <f>'октябрь 2014г. по 6-10'!E121+'октябрь 2014г. по 0,4'!E118</f>
        <v>0</v>
      </c>
      <c r="F121" s="31">
        <f>'октябрь 2014г. по 6-10'!F121+'октябрь 2014г. по 0,4'!F118</f>
        <v>0</v>
      </c>
      <c r="G121" s="31">
        <f>'октябрь 2014г. по 6-10'!G121+'октябрь 2014г. по 0,4'!G118</f>
        <v>0</v>
      </c>
      <c r="H121" s="31">
        <f>'октябрь 2014г. по 6-10'!H121+'октябрь 2014г. по 0,4'!H118</f>
        <v>0</v>
      </c>
      <c r="I121" s="31">
        <f>'октябрь 2014г. по 6-10'!I121+'октябрь 2014г. по 0,4'!I118</f>
        <v>0</v>
      </c>
      <c r="J121" s="31">
        <f>'октябрь 2014г. по 6-10'!J121+'октябрь 2014г. по 0,4'!J118</f>
        <v>0</v>
      </c>
      <c r="K121" s="31">
        <f>'октябрь 2014г. по 6-10'!K121+'октябрь 2014г. по 0,4'!K118</f>
        <v>0</v>
      </c>
      <c r="L121" s="31">
        <f>'октябрь 2014г. по 6-10'!L121+'октябрь 2014г. по 0,4'!L118</f>
        <v>0</v>
      </c>
      <c r="M121" s="31">
        <f>'октябрь 2014г. по 6-10'!M121+'октябрь 2014г. по 0,4'!M118</f>
        <v>0</v>
      </c>
      <c r="N121" s="31">
        <f>'октябрь 2014г. по 6-10'!N121+'октябрь 2014г. по 0,4'!N118</f>
        <v>0</v>
      </c>
      <c r="O121" s="31">
        <f>'октябрь 2014г. по 6-10'!O121+'октябрь 2014г. по 0,4'!O118</f>
        <v>0</v>
      </c>
      <c r="P121" s="31">
        <f>'октябрь 2014г. по 6-10'!P121+'октябрь 2014г. по 0,4'!P118</f>
        <v>0</v>
      </c>
      <c r="Q121" s="31">
        <f>'октябрь 2014г. по 6-10'!Q121+'октябрь 2014г. по 0,4'!Q118</f>
        <v>0</v>
      </c>
    </row>
    <row r="122" spans="1:17" x14ac:dyDescent="0.2">
      <c r="A122" s="18"/>
      <c r="B122" s="53"/>
      <c r="C122" s="50" t="s">
        <v>193</v>
      </c>
      <c r="D122" s="31">
        <f>'октябрь 2014г. по 6-10'!D122+'октябрь 2014г. по 0,4'!D119</f>
        <v>7</v>
      </c>
      <c r="E122" s="31">
        <f>'октябрь 2014г. по 6-10'!E122+'октябрь 2014г. по 0,4'!E119</f>
        <v>76.900000000000006</v>
      </c>
      <c r="F122" s="31">
        <f>'октябрь 2014г. по 6-10'!F122+'октябрь 2014г. по 0,4'!F119</f>
        <v>7</v>
      </c>
      <c r="G122" s="31">
        <f>'октябрь 2014г. по 6-10'!G122+'октябрь 2014г. по 0,4'!G119</f>
        <v>76.900000000000006</v>
      </c>
      <c r="H122" s="31">
        <f>'октябрь 2014г. по 6-10'!H122+'октябрь 2014г. по 0,4'!H119</f>
        <v>0</v>
      </c>
      <c r="I122" s="31">
        <f>'октябрь 2014г. по 6-10'!I122+'октябрь 2014г. по 0,4'!I119</f>
        <v>0</v>
      </c>
      <c r="J122" s="31">
        <f>'октябрь 2014г. по 6-10'!J122+'октябрь 2014г. по 0,4'!J119</f>
        <v>0</v>
      </c>
      <c r="K122" s="31">
        <f>'октябрь 2014г. по 6-10'!K122+'октябрь 2014г. по 0,4'!K119</f>
        <v>0</v>
      </c>
      <c r="L122" s="31">
        <f>'октябрь 2014г. по 6-10'!L122+'октябрь 2014г. по 0,4'!L119</f>
        <v>0</v>
      </c>
      <c r="M122" s="31">
        <f>'октябрь 2014г. по 6-10'!M122+'октябрь 2014г. по 0,4'!M119</f>
        <v>0</v>
      </c>
      <c r="N122" s="31">
        <f>'октябрь 2014г. по 6-10'!N122+'октябрь 2014г. по 0,4'!N119</f>
        <v>0</v>
      </c>
      <c r="O122" s="31">
        <f>'октябрь 2014г. по 6-10'!O122+'октябрь 2014г. по 0,4'!O119</f>
        <v>0</v>
      </c>
      <c r="P122" s="31">
        <f>'октябрь 2014г. по 6-10'!P122+'октябрь 2014г. по 0,4'!P119</f>
        <v>0</v>
      </c>
      <c r="Q122" s="31">
        <f>'октябрь 2014г. по 6-10'!Q122+'октябрь 2014г. по 0,4'!Q119</f>
        <v>0</v>
      </c>
    </row>
    <row r="123" spans="1:17" x14ac:dyDescent="0.2">
      <c r="A123" s="18"/>
      <c r="B123" s="53"/>
      <c r="C123" s="50" t="s">
        <v>194</v>
      </c>
      <c r="D123" s="31">
        <f>'октябрь 2014г. по 6-10'!D123+'октябрь 2014г. по 0,4'!D120</f>
        <v>8</v>
      </c>
      <c r="E123" s="31">
        <f>'октябрь 2014г. по 6-10'!E123+'октябрь 2014г. по 0,4'!E120</f>
        <v>316.5</v>
      </c>
      <c r="F123" s="31">
        <f>'октябрь 2014г. по 6-10'!F123+'октябрь 2014г. по 0,4'!F120</f>
        <v>8</v>
      </c>
      <c r="G123" s="31">
        <f>'октябрь 2014г. по 6-10'!G123+'октябрь 2014г. по 0,4'!G120</f>
        <v>316.5</v>
      </c>
      <c r="H123" s="31">
        <f>'октябрь 2014г. по 6-10'!H123+'октябрь 2014г. по 0,4'!H120</f>
        <v>0</v>
      </c>
      <c r="I123" s="31">
        <f>'октябрь 2014г. по 6-10'!I123+'октябрь 2014г. по 0,4'!I120</f>
        <v>0</v>
      </c>
      <c r="J123" s="31">
        <f>'октябрь 2014г. по 6-10'!J123+'октябрь 2014г. по 0,4'!J120</f>
        <v>0</v>
      </c>
      <c r="K123" s="31">
        <f>'октябрь 2014г. по 6-10'!K123+'октябрь 2014г. по 0,4'!K120</f>
        <v>0</v>
      </c>
      <c r="L123" s="31">
        <f>'октябрь 2014г. по 6-10'!L123+'октябрь 2014г. по 0,4'!L120</f>
        <v>0</v>
      </c>
      <c r="M123" s="31">
        <f>'октябрь 2014г. по 6-10'!M123+'октябрь 2014г. по 0,4'!M120</f>
        <v>0</v>
      </c>
      <c r="N123" s="31">
        <f>'октябрь 2014г. по 6-10'!N123+'октябрь 2014г. по 0,4'!N120</f>
        <v>0</v>
      </c>
      <c r="O123" s="31">
        <f>'октябрь 2014г. по 6-10'!O123+'октябрь 2014г. по 0,4'!O120</f>
        <v>0</v>
      </c>
      <c r="P123" s="31">
        <f>'октябрь 2014г. по 6-10'!P123+'октябрь 2014г. по 0,4'!P120</f>
        <v>0</v>
      </c>
      <c r="Q123" s="31">
        <f>'октябрь 2014г. по 6-10'!Q123+'октябрь 2014г. по 0,4'!Q120</f>
        <v>0</v>
      </c>
    </row>
    <row r="124" spans="1:17" x14ac:dyDescent="0.2">
      <c r="A124" s="18"/>
      <c r="B124" s="53"/>
      <c r="C124" s="50" t="s">
        <v>195</v>
      </c>
      <c r="D124" s="31">
        <f>'октябрь 2014г. по 6-10'!D124+'октябрь 2014г. по 0,4'!D121</f>
        <v>3</v>
      </c>
      <c r="E124" s="31">
        <f>'октябрь 2014г. по 6-10'!E124+'октябрь 2014г. по 0,4'!E121</f>
        <v>12.5</v>
      </c>
      <c r="F124" s="31">
        <f>'октябрь 2014г. по 6-10'!F124+'октябрь 2014г. по 0,4'!F121</f>
        <v>3</v>
      </c>
      <c r="G124" s="31">
        <f>'октябрь 2014г. по 6-10'!G124+'октябрь 2014г. по 0,4'!G121</f>
        <v>12.5</v>
      </c>
      <c r="H124" s="31">
        <f>'октябрь 2014г. по 6-10'!H124+'октябрь 2014г. по 0,4'!H121</f>
        <v>0</v>
      </c>
      <c r="I124" s="31">
        <f>'октябрь 2014г. по 6-10'!I124+'октябрь 2014г. по 0,4'!I121</f>
        <v>0</v>
      </c>
      <c r="J124" s="31">
        <f>'октябрь 2014г. по 6-10'!J124+'октябрь 2014г. по 0,4'!J121</f>
        <v>0</v>
      </c>
      <c r="K124" s="31">
        <f>'октябрь 2014г. по 6-10'!K124+'октябрь 2014г. по 0,4'!K121</f>
        <v>0</v>
      </c>
      <c r="L124" s="31">
        <f>'октябрь 2014г. по 6-10'!L124+'октябрь 2014г. по 0,4'!L121</f>
        <v>0</v>
      </c>
      <c r="M124" s="31">
        <f>'октябрь 2014г. по 6-10'!M124+'октябрь 2014г. по 0,4'!M121</f>
        <v>0</v>
      </c>
      <c r="N124" s="31">
        <f>'октябрь 2014г. по 6-10'!N124+'октябрь 2014г. по 0,4'!N121</f>
        <v>0</v>
      </c>
      <c r="O124" s="31">
        <f>'октябрь 2014г. по 6-10'!O124+'октябрь 2014г. по 0,4'!O121</f>
        <v>0</v>
      </c>
      <c r="P124" s="31">
        <f>'октябрь 2014г. по 6-10'!P124+'октябрь 2014г. по 0,4'!P121</f>
        <v>0</v>
      </c>
      <c r="Q124" s="31">
        <f>'октябрь 2014г. по 6-10'!Q124+'октябрь 2014г. по 0,4'!Q121</f>
        <v>0</v>
      </c>
    </row>
    <row r="125" spans="1:17" x14ac:dyDescent="0.2">
      <c r="A125" s="18"/>
      <c r="B125" s="53"/>
      <c r="C125" s="50" t="s">
        <v>196</v>
      </c>
      <c r="D125" s="31">
        <f>'октябрь 2014г. по 6-10'!D125+'октябрь 2014г. по 0,4'!D122</f>
        <v>6</v>
      </c>
      <c r="E125" s="31">
        <f>'октябрь 2014г. по 6-10'!E125+'октябрь 2014г. по 0,4'!E122</f>
        <v>139.80000000000001</v>
      </c>
      <c r="F125" s="31">
        <f>'октябрь 2014г. по 6-10'!F125+'октябрь 2014г. по 0,4'!F122</f>
        <v>5</v>
      </c>
      <c r="G125" s="31">
        <f>'октябрь 2014г. по 6-10'!G125+'октябрь 2014г. по 0,4'!G122</f>
        <v>41.8</v>
      </c>
      <c r="H125" s="31">
        <f>'октябрь 2014г. по 6-10'!H125+'октябрь 2014г. по 0,4'!H122</f>
        <v>0</v>
      </c>
      <c r="I125" s="31">
        <f>'октябрь 2014г. по 6-10'!I125+'октябрь 2014г. по 0,4'!I122</f>
        <v>0</v>
      </c>
      <c r="J125" s="31">
        <f>'октябрь 2014г. по 6-10'!J125+'октябрь 2014г. по 0,4'!J122</f>
        <v>2</v>
      </c>
      <c r="K125" s="31">
        <f>'октябрь 2014г. по 6-10'!K125+'октябрь 2014г. по 0,4'!K122</f>
        <v>18</v>
      </c>
      <c r="L125" s="31">
        <f>'октябрь 2014г. по 6-10'!L125+'октябрь 2014г. по 0,4'!L122</f>
        <v>0</v>
      </c>
      <c r="M125" s="31">
        <f>'октябрь 2014г. по 6-10'!M125+'октябрь 2014г. по 0,4'!M122</f>
        <v>0</v>
      </c>
      <c r="N125" s="31">
        <f>'октябрь 2014г. по 6-10'!N125+'октябрь 2014г. по 0,4'!N122</f>
        <v>0</v>
      </c>
      <c r="O125" s="31">
        <f>'октябрь 2014г. по 6-10'!O125+'октябрь 2014г. по 0,4'!O122</f>
        <v>0</v>
      </c>
      <c r="P125" s="31">
        <f>'октябрь 2014г. по 6-10'!P125+'октябрь 2014г. по 0,4'!P122</f>
        <v>0</v>
      </c>
      <c r="Q125" s="31">
        <f>'октябрь 2014г. по 6-10'!Q125+'октябрь 2014г. по 0,4'!Q122</f>
        <v>0</v>
      </c>
    </row>
    <row r="126" spans="1:17" ht="12.75" customHeight="1" x14ac:dyDescent="0.2">
      <c r="A126" s="18"/>
      <c r="B126" s="53"/>
      <c r="C126" s="50" t="s">
        <v>197</v>
      </c>
      <c r="D126" s="31">
        <f>'октябрь 2014г. по 6-10'!D126+'октябрь 2014г. по 0,4'!D123</f>
        <v>5</v>
      </c>
      <c r="E126" s="31">
        <f>'октябрь 2014г. по 6-10'!E126+'октябрь 2014г. по 0,4'!E123</f>
        <v>130</v>
      </c>
      <c r="F126" s="31">
        <f>'октябрь 2014г. по 6-10'!F126+'октябрь 2014г. по 0,4'!F123</f>
        <v>5</v>
      </c>
      <c r="G126" s="31">
        <f>'октябрь 2014г. по 6-10'!G126+'октябрь 2014г. по 0,4'!G123</f>
        <v>130</v>
      </c>
      <c r="H126" s="31">
        <f>'октябрь 2014г. по 6-10'!H126+'октябрь 2014г. по 0,4'!H123</f>
        <v>0</v>
      </c>
      <c r="I126" s="31">
        <f>'октябрь 2014г. по 6-10'!I126+'октябрь 2014г. по 0,4'!I123</f>
        <v>0</v>
      </c>
      <c r="J126" s="31">
        <f>'октябрь 2014г. по 6-10'!J126+'октябрь 2014г. по 0,4'!J123</f>
        <v>0</v>
      </c>
      <c r="K126" s="31">
        <f>'октябрь 2014г. по 6-10'!K126+'октябрь 2014г. по 0,4'!K123</f>
        <v>0</v>
      </c>
      <c r="L126" s="31">
        <f>'октябрь 2014г. по 6-10'!L126+'октябрь 2014г. по 0,4'!L123</f>
        <v>0</v>
      </c>
      <c r="M126" s="31">
        <f>'октябрь 2014г. по 6-10'!M126+'октябрь 2014г. по 0,4'!M123</f>
        <v>0</v>
      </c>
      <c r="N126" s="31">
        <f>'октябрь 2014г. по 6-10'!N126+'октябрь 2014г. по 0,4'!N123</f>
        <v>0</v>
      </c>
      <c r="O126" s="31">
        <f>'октябрь 2014г. по 6-10'!O126+'октябрь 2014г. по 0,4'!O123</f>
        <v>0</v>
      </c>
      <c r="P126" s="31">
        <f>'октябрь 2014г. по 6-10'!P126+'октябрь 2014г. по 0,4'!P123</f>
        <v>0</v>
      </c>
      <c r="Q126" s="31">
        <f>'октябрь 2014г. по 6-10'!Q126+'октябрь 2014г. по 0,4'!Q123</f>
        <v>0</v>
      </c>
    </row>
    <row r="127" spans="1:17" ht="12.75" customHeight="1" x14ac:dyDescent="0.2">
      <c r="A127" s="18"/>
      <c r="B127" s="53"/>
      <c r="C127" s="50" t="s">
        <v>198</v>
      </c>
      <c r="D127" s="31">
        <f>'октябрь 2014г. по 6-10'!D127+'октябрь 2014г. по 0,4'!D124</f>
        <v>1</v>
      </c>
      <c r="E127" s="31">
        <f>'октябрь 2014г. по 6-10'!E127+'октябрь 2014г. по 0,4'!E124</f>
        <v>160</v>
      </c>
      <c r="F127" s="31">
        <f>'октябрь 2014г. по 6-10'!F127+'октябрь 2014г. по 0,4'!F124</f>
        <v>1</v>
      </c>
      <c r="G127" s="31">
        <f>'октябрь 2014г. по 6-10'!G127+'октябрь 2014г. по 0,4'!G124</f>
        <v>160</v>
      </c>
      <c r="H127" s="31">
        <f>'октябрь 2014г. по 6-10'!H127+'октябрь 2014г. по 0,4'!H124</f>
        <v>0</v>
      </c>
      <c r="I127" s="31">
        <f>'октябрь 2014г. по 6-10'!I127+'октябрь 2014г. по 0,4'!I124</f>
        <v>0</v>
      </c>
      <c r="J127" s="31">
        <f>'октябрь 2014г. по 6-10'!J127+'октябрь 2014г. по 0,4'!J124</f>
        <v>0</v>
      </c>
      <c r="K127" s="31">
        <f>'октябрь 2014г. по 6-10'!K127+'октябрь 2014г. по 0,4'!K124</f>
        <v>0</v>
      </c>
      <c r="L127" s="31">
        <f>'октябрь 2014г. по 6-10'!L127+'октябрь 2014г. по 0,4'!L124</f>
        <v>0</v>
      </c>
      <c r="M127" s="31">
        <f>'октябрь 2014г. по 6-10'!M127+'октябрь 2014г. по 0,4'!M124</f>
        <v>0</v>
      </c>
      <c r="N127" s="31">
        <f>'октябрь 2014г. по 6-10'!N127+'октябрь 2014г. по 0,4'!N124</f>
        <v>0</v>
      </c>
      <c r="O127" s="31">
        <f>'октябрь 2014г. по 6-10'!O127+'октябрь 2014г. по 0,4'!O124</f>
        <v>0</v>
      </c>
      <c r="P127" s="31">
        <f>'октябрь 2014г. по 6-10'!P127+'октябрь 2014г. по 0,4'!P124</f>
        <v>0</v>
      </c>
      <c r="Q127" s="31">
        <f>'октябрь 2014г. по 6-10'!Q127+'октябрь 2014г. по 0,4'!Q124</f>
        <v>0</v>
      </c>
    </row>
    <row r="128" spans="1:17" ht="12.75" customHeight="1" x14ac:dyDescent="0.2">
      <c r="A128" s="18"/>
      <c r="B128" s="53"/>
      <c r="C128" s="50" t="s">
        <v>199</v>
      </c>
      <c r="D128" s="31">
        <f>'октябрь 2014г. по 6-10'!D128+'октябрь 2014г. по 0,4'!D125</f>
        <v>1</v>
      </c>
      <c r="E128" s="31">
        <f>'октябрь 2014г. по 6-10'!E128+'октябрь 2014г. по 0,4'!E125</f>
        <v>1.8</v>
      </c>
      <c r="F128" s="31">
        <f>'октябрь 2014г. по 6-10'!F128+'октябрь 2014г. по 0,4'!F125</f>
        <v>1</v>
      </c>
      <c r="G128" s="31">
        <f>'октябрь 2014г. по 6-10'!G128+'октябрь 2014г. по 0,4'!G125</f>
        <v>1.8</v>
      </c>
      <c r="H128" s="31">
        <f>'октябрь 2014г. по 6-10'!H128+'октябрь 2014г. по 0,4'!H125</f>
        <v>0</v>
      </c>
      <c r="I128" s="31">
        <f>'октябрь 2014г. по 6-10'!I128+'октябрь 2014г. по 0,4'!I125</f>
        <v>0</v>
      </c>
      <c r="J128" s="31">
        <f>'октябрь 2014г. по 6-10'!J128+'октябрь 2014г. по 0,4'!J125</f>
        <v>0</v>
      </c>
      <c r="K128" s="31">
        <f>'октябрь 2014г. по 6-10'!K128+'октябрь 2014г. по 0,4'!K125</f>
        <v>0</v>
      </c>
      <c r="L128" s="31">
        <f>'октябрь 2014г. по 6-10'!L128+'октябрь 2014г. по 0,4'!L125</f>
        <v>0</v>
      </c>
      <c r="M128" s="31">
        <f>'октябрь 2014г. по 6-10'!M128+'октябрь 2014г. по 0,4'!M125</f>
        <v>0</v>
      </c>
      <c r="N128" s="31">
        <f>'октябрь 2014г. по 6-10'!N128+'октябрь 2014г. по 0,4'!N125</f>
        <v>0</v>
      </c>
      <c r="O128" s="31">
        <f>'октябрь 2014г. по 6-10'!O128+'октябрь 2014г. по 0,4'!O125</f>
        <v>0</v>
      </c>
      <c r="P128" s="31">
        <f>'октябрь 2014г. по 6-10'!P128+'октябрь 2014г. по 0,4'!P125</f>
        <v>0</v>
      </c>
      <c r="Q128" s="31">
        <f>'октябрь 2014г. по 6-10'!Q128+'октябрь 2014г. по 0,4'!Q125</f>
        <v>0</v>
      </c>
    </row>
    <row r="129" spans="1:17" ht="12.75" customHeight="1" x14ac:dyDescent="0.2">
      <c r="A129" s="18"/>
      <c r="B129" s="53"/>
      <c r="C129" s="50" t="s">
        <v>200</v>
      </c>
      <c r="D129" s="31">
        <f>'октябрь 2014г. по 6-10'!D129+'октябрь 2014г. по 0,4'!D126</f>
        <v>10</v>
      </c>
      <c r="E129" s="31">
        <f>'октябрь 2014г. по 6-10'!E129+'октябрь 2014г. по 0,4'!E126</f>
        <v>230</v>
      </c>
      <c r="F129" s="31">
        <f>'октябрь 2014г. по 6-10'!F129+'октябрь 2014г. по 0,4'!F126</f>
        <v>7</v>
      </c>
      <c r="G129" s="31">
        <f>'октябрь 2014г. по 6-10'!G129+'октябрь 2014г. по 0,4'!G126</f>
        <v>130</v>
      </c>
      <c r="H129" s="31">
        <f>'октябрь 2014г. по 6-10'!H129+'октябрь 2014г. по 0,4'!H126</f>
        <v>0</v>
      </c>
      <c r="I129" s="31">
        <f>'октябрь 2014г. по 6-10'!I129+'октябрь 2014г. по 0,4'!I126</f>
        <v>0</v>
      </c>
      <c r="J129" s="31">
        <f>'октябрь 2014г. по 6-10'!J129+'октябрь 2014г. по 0,4'!J126</f>
        <v>0</v>
      </c>
      <c r="K129" s="31">
        <f>'октябрь 2014г. по 6-10'!K129+'октябрь 2014г. по 0,4'!K126</f>
        <v>0</v>
      </c>
      <c r="L129" s="31">
        <f>'октябрь 2014г. по 6-10'!L129+'октябрь 2014г. по 0,4'!L126</f>
        <v>0</v>
      </c>
      <c r="M129" s="31">
        <f>'октябрь 2014г. по 6-10'!M129+'октябрь 2014г. по 0,4'!M126</f>
        <v>0</v>
      </c>
      <c r="N129" s="31">
        <f>'октябрь 2014г. по 6-10'!N129+'октябрь 2014г. по 0,4'!N126</f>
        <v>0</v>
      </c>
      <c r="O129" s="31">
        <f>'октябрь 2014г. по 6-10'!O129+'октябрь 2014г. по 0,4'!O126</f>
        <v>0</v>
      </c>
      <c r="P129" s="31">
        <f>'октябрь 2014г. по 6-10'!P129+'октябрь 2014г. по 0,4'!P126</f>
        <v>0</v>
      </c>
      <c r="Q129" s="31">
        <f>'октябрь 2014г. по 6-10'!Q129+'октябрь 2014г. по 0,4'!Q126</f>
        <v>0</v>
      </c>
    </row>
    <row r="130" spans="1:17" ht="12.75" customHeight="1" x14ac:dyDescent="0.2">
      <c r="A130" s="18"/>
      <c r="B130" s="53"/>
      <c r="C130" s="50" t="s">
        <v>201</v>
      </c>
      <c r="D130" s="31">
        <f>'октябрь 2014г. по 6-10'!D130+'октябрь 2014г. по 0,4'!D127</f>
        <v>8</v>
      </c>
      <c r="E130" s="31">
        <f>'октябрь 2014г. по 6-10'!E130+'октябрь 2014г. по 0,4'!E127</f>
        <v>173.5</v>
      </c>
      <c r="F130" s="31">
        <f>'октябрь 2014г. по 6-10'!F130+'октябрь 2014г. по 0,4'!F127</f>
        <v>8</v>
      </c>
      <c r="G130" s="31">
        <f>'октябрь 2014г. по 6-10'!G130+'октябрь 2014г. по 0,4'!G127</f>
        <v>75.5</v>
      </c>
      <c r="H130" s="31">
        <f>'октябрь 2014г. по 6-10'!H130+'октябрь 2014г. по 0,4'!H127</f>
        <v>0</v>
      </c>
      <c r="I130" s="31">
        <f>'октябрь 2014г. по 6-10'!I130+'октябрь 2014г. по 0,4'!I127</f>
        <v>0</v>
      </c>
      <c r="J130" s="31">
        <f>'октябрь 2014г. по 6-10'!J130+'октябрь 2014г. по 0,4'!J127</f>
        <v>0</v>
      </c>
      <c r="K130" s="31">
        <f>'октябрь 2014г. по 6-10'!K130+'октябрь 2014г. по 0,4'!K127</f>
        <v>0</v>
      </c>
      <c r="L130" s="31">
        <f>'октябрь 2014г. по 6-10'!L130+'октябрь 2014г. по 0,4'!L127</f>
        <v>0</v>
      </c>
      <c r="M130" s="31">
        <f>'октябрь 2014г. по 6-10'!M130+'октябрь 2014г. по 0,4'!M127</f>
        <v>0</v>
      </c>
      <c r="N130" s="31">
        <f>'октябрь 2014г. по 6-10'!N130+'октябрь 2014г. по 0,4'!N127</f>
        <v>0</v>
      </c>
      <c r="O130" s="31">
        <f>'октябрь 2014г. по 6-10'!O130+'октябрь 2014г. по 0,4'!O127</f>
        <v>0</v>
      </c>
      <c r="P130" s="31">
        <f>'октябрь 2014г. по 6-10'!P130+'октябрь 2014г. по 0,4'!P127</f>
        <v>0</v>
      </c>
      <c r="Q130" s="31">
        <f>'октябрь 2014г. по 6-10'!Q130+'октябрь 2014г. по 0,4'!Q127</f>
        <v>0</v>
      </c>
    </row>
    <row r="131" spans="1:17" ht="12.75" customHeight="1" x14ac:dyDescent="0.2">
      <c r="A131" s="18"/>
      <c r="B131" s="53"/>
      <c r="C131" s="50" t="s">
        <v>202</v>
      </c>
      <c r="D131" s="31">
        <f>'октябрь 2014г. по 6-10'!D131+'октябрь 2014г. по 0,4'!D128</f>
        <v>4</v>
      </c>
      <c r="E131" s="31">
        <f>'октябрь 2014г. по 6-10'!E131+'октябрь 2014г. по 0,4'!E128</f>
        <v>19</v>
      </c>
      <c r="F131" s="31">
        <f>'октябрь 2014г. по 6-10'!F131+'октябрь 2014г. по 0,4'!F128</f>
        <v>2</v>
      </c>
      <c r="G131" s="31">
        <f>'октябрь 2014г. по 6-10'!G131+'октябрь 2014г. по 0,4'!G128</f>
        <v>19</v>
      </c>
      <c r="H131" s="31">
        <f>'октябрь 2014г. по 6-10'!H131+'октябрь 2014г. по 0,4'!H128</f>
        <v>0</v>
      </c>
      <c r="I131" s="31">
        <f>'октябрь 2014г. по 6-10'!I131+'октябрь 2014г. по 0,4'!I128</f>
        <v>0</v>
      </c>
      <c r="J131" s="31">
        <f>'октябрь 2014г. по 6-10'!J131+'октябрь 2014г. по 0,4'!J128</f>
        <v>30</v>
      </c>
      <c r="K131" s="31">
        <f>'октябрь 2014г. по 6-10'!K131+'октябрь 2014г. по 0,4'!K128</f>
        <v>302</v>
      </c>
      <c r="L131" s="31">
        <f>'октябрь 2014г. по 6-10'!L131+'октябрь 2014г. по 0,4'!L128</f>
        <v>0</v>
      </c>
      <c r="M131" s="31">
        <f>'октябрь 2014г. по 6-10'!M131+'октябрь 2014г. по 0,4'!M128</f>
        <v>0</v>
      </c>
      <c r="N131" s="31">
        <f>'октябрь 2014г. по 6-10'!N131+'октябрь 2014г. по 0,4'!N128</f>
        <v>0</v>
      </c>
      <c r="O131" s="31">
        <f>'октябрь 2014г. по 6-10'!O131+'октябрь 2014г. по 0,4'!O128</f>
        <v>0</v>
      </c>
      <c r="P131" s="31">
        <f>'октябрь 2014г. по 6-10'!P131+'октябрь 2014г. по 0,4'!P128</f>
        <v>0</v>
      </c>
      <c r="Q131" s="31">
        <f>'октябрь 2014г. по 6-10'!Q131+'октябрь 2014г. по 0,4'!Q128</f>
        <v>0</v>
      </c>
    </row>
    <row r="132" spans="1:17" ht="12.75" customHeight="1" x14ac:dyDescent="0.2">
      <c r="A132" s="18"/>
      <c r="B132" s="53"/>
      <c r="C132" s="50" t="s">
        <v>203</v>
      </c>
      <c r="D132" s="31">
        <f>'октябрь 2014г. по 6-10'!D132+'октябрь 2014г. по 0,4'!D129</f>
        <v>1</v>
      </c>
      <c r="E132" s="31">
        <f>'октябрь 2014г. по 6-10'!E132+'октябрь 2014г. по 0,4'!E129</f>
        <v>3</v>
      </c>
      <c r="F132" s="31">
        <f>'октябрь 2014г. по 6-10'!F132+'октябрь 2014г. по 0,4'!F129</f>
        <v>1</v>
      </c>
      <c r="G132" s="31">
        <f>'октябрь 2014г. по 6-10'!G132+'октябрь 2014г. по 0,4'!G129</f>
        <v>3</v>
      </c>
      <c r="H132" s="31">
        <f>'октябрь 2014г. по 6-10'!H132+'октябрь 2014г. по 0,4'!H129</f>
        <v>0</v>
      </c>
      <c r="I132" s="31">
        <f>'октябрь 2014г. по 6-10'!I132+'октябрь 2014г. по 0,4'!I129</f>
        <v>0</v>
      </c>
      <c r="J132" s="31">
        <f>'октябрь 2014г. по 6-10'!J132+'октябрь 2014г. по 0,4'!J129</f>
        <v>41</v>
      </c>
      <c r="K132" s="31">
        <f>'октябрь 2014г. по 6-10'!K132+'октябрь 2014г. по 0,4'!K129</f>
        <v>371</v>
      </c>
      <c r="L132" s="31">
        <f>'октябрь 2014г. по 6-10'!L132+'октябрь 2014г. по 0,4'!L129</f>
        <v>0</v>
      </c>
      <c r="M132" s="31">
        <f>'октябрь 2014г. по 6-10'!M132+'октябрь 2014г. по 0,4'!M129</f>
        <v>0</v>
      </c>
      <c r="N132" s="31">
        <f>'октябрь 2014г. по 6-10'!N132+'октябрь 2014г. по 0,4'!N129</f>
        <v>0</v>
      </c>
      <c r="O132" s="31">
        <f>'октябрь 2014г. по 6-10'!O132+'октябрь 2014г. по 0,4'!O129</f>
        <v>0</v>
      </c>
      <c r="P132" s="31">
        <f>'октябрь 2014г. по 6-10'!P132+'октябрь 2014г. по 0,4'!P129</f>
        <v>0</v>
      </c>
      <c r="Q132" s="31">
        <f>'октябрь 2014г. по 6-10'!Q132+'октябрь 2014г. по 0,4'!Q129</f>
        <v>0</v>
      </c>
    </row>
    <row r="133" spans="1:17" ht="12.75" customHeight="1" x14ac:dyDescent="0.2">
      <c r="A133" s="18"/>
      <c r="B133" s="53"/>
      <c r="C133" s="50" t="s">
        <v>204</v>
      </c>
      <c r="D133" s="31">
        <f>'октябрь 2014г. по 6-10'!D133+'октябрь 2014г. по 0,4'!D130</f>
        <v>1</v>
      </c>
      <c r="E133" s="31">
        <f>'октябрь 2014г. по 6-10'!E133+'октябрь 2014г. по 0,4'!E130</f>
        <v>32</v>
      </c>
      <c r="F133" s="31">
        <f>'октябрь 2014г. по 6-10'!F133+'октябрь 2014г. по 0,4'!F130</f>
        <v>1</v>
      </c>
      <c r="G133" s="31">
        <f>'октябрь 2014г. по 6-10'!G133+'октябрь 2014г. по 0,4'!G130</f>
        <v>4.4000000000000004</v>
      </c>
      <c r="H133" s="31">
        <f>'октябрь 2014г. по 6-10'!H133+'октябрь 2014г. по 0,4'!H130</f>
        <v>0</v>
      </c>
      <c r="I133" s="31">
        <f>'октябрь 2014г. по 6-10'!I133+'октябрь 2014г. по 0,4'!I130</f>
        <v>0</v>
      </c>
      <c r="J133" s="31">
        <f>'октябрь 2014г. по 6-10'!J133+'октябрь 2014г. по 0,4'!J130</f>
        <v>0</v>
      </c>
      <c r="K133" s="31">
        <f>'октябрь 2014г. по 6-10'!K133+'октябрь 2014г. по 0,4'!K130</f>
        <v>0</v>
      </c>
      <c r="L133" s="31">
        <f>'октябрь 2014г. по 6-10'!L133+'октябрь 2014г. по 0,4'!L130</f>
        <v>0</v>
      </c>
      <c r="M133" s="31">
        <f>'октябрь 2014г. по 6-10'!M133+'октябрь 2014г. по 0,4'!M130</f>
        <v>0</v>
      </c>
      <c r="N133" s="31">
        <f>'октябрь 2014г. по 6-10'!N133+'октябрь 2014г. по 0,4'!N130</f>
        <v>0</v>
      </c>
      <c r="O133" s="31">
        <f>'октябрь 2014г. по 6-10'!O133+'октябрь 2014г. по 0,4'!O130</f>
        <v>0</v>
      </c>
      <c r="P133" s="31">
        <f>'октябрь 2014г. по 6-10'!P133+'октябрь 2014г. по 0,4'!P130</f>
        <v>0</v>
      </c>
      <c r="Q133" s="31">
        <f>'октябрь 2014г. по 6-10'!Q133+'октябрь 2014г. по 0,4'!Q130</f>
        <v>0</v>
      </c>
    </row>
    <row r="134" spans="1:17" ht="12.75" customHeight="1" x14ac:dyDescent="0.2">
      <c r="A134" s="18"/>
      <c r="B134" s="53"/>
      <c r="C134" s="50" t="s">
        <v>205</v>
      </c>
      <c r="D134" s="31">
        <f>'октябрь 2014г. по 6-10'!D134+'октябрь 2014г. по 0,4'!D131</f>
        <v>0</v>
      </c>
      <c r="E134" s="31">
        <f>'октябрь 2014г. по 6-10'!E134+'октябрь 2014г. по 0,4'!E131</f>
        <v>0</v>
      </c>
      <c r="F134" s="31">
        <f>'октябрь 2014г. по 6-10'!F134+'октябрь 2014г. по 0,4'!F131</f>
        <v>0</v>
      </c>
      <c r="G134" s="31">
        <f>'октябрь 2014г. по 6-10'!G134+'октябрь 2014г. по 0,4'!G131</f>
        <v>0</v>
      </c>
      <c r="H134" s="31">
        <f>'октябрь 2014г. по 6-10'!H134+'октябрь 2014г. по 0,4'!H131</f>
        <v>0</v>
      </c>
      <c r="I134" s="31">
        <f>'октябрь 2014г. по 6-10'!I134+'октябрь 2014г. по 0,4'!I131</f>
        <v>0</v>
      </c>
      <c r="J134" s="31">
        <f>'октябрь 2014г. по 6-10'!J134+'октябрь 2014г. по 0,4'!J131</f>
        <v>16</v>
      </c>
      <c r="K134" s="31">
        <f>'октябрь 2014г. по 6-10'!K134+'октябрь 2014г. по 0,4'!K131</f>
        <v>87</v>
      </c>
      <c r="L134" s="31">
        <f>'октябрь 2014г. по 6-10'!L134+'октябрь 2014г. по 0,4'!L131</f>
        <v>0</v>
      </c>
      <c r="M134" s="31">
        <f>'октябрь 2014г. по 6-10'!M134+'октябрь 2014г. по 0,4'!M131</f>
        <v>0</v>
      </c>
      <c r="N134" s="31">
        <f>'октябрь 2014г. по 6-10'!N134+'октябрь 2014г. по 0,4'!N131</f>
        <v>0</v>
      </c>
      <c r="O134" s="31">
        <f>'октябрь 2014г. по 6-10'!O134+'октябрь 2014г. по 0,4'!O131</f>
        <v>0</v>
      </c>
      <c r="P134" s="31">
        <f>'октябрь 2014г. по 6-10'!P134+'октябрь 2014г. по 0,4'!P131</f>
        <v>0</v>
      </c>
      <c r="Q134" s="31">
        <f>'октябрь 2014г. по 6-10'!Q134+'октябрь 2014г. по 0,4'!Q131</f>
        <v>0</v>
      </c>
    </row>
    <row r="135" spans="1:17" ht="12.75" customHeight="1" x14ac:dyDescent="0.2">
      <c r="A135" s="18"/>
      <c r="B135" s="53"/>
      <c r="C135" s="50" t="s">
        <v>206</v>
      </c>
      <c r="D135" s="31">
        <f>'октябрь 2014г. по 6-10'!D135+'октябрь 2014г. по 0,4'!D132</f>
        <v>3</v>
      </c>
      <c r="E135" s="31">
        <f>'октябрь 2014г. по 6-10'!E135+'октябрь 2014г. по 0,4'!E132</f>
        <v>113</v>
      </c>
      <c r="F135" s="31">
        <f>'октябрь 2014г. по 6-10'!F135+'октябрь 2014г. по 0,4'!F132</f>
        <v>3</v>
      </c>
      <c r="G135" s="31">
        <f>'октябрь 2014г. по 6-10'!G135+'октябрь 2014г. по 0,4'!G132</f>
        <v>113</v>
      </c>
      <c r="H135" s="31">
        <f>'октябрь 2014г. по 6-10'!H135+'октябрь 2014г. по 0,4'!H132</f>
        <v>0</v>
      </c>
      <c r="I135" s="31">
        <f>'октябрь 2014г. по 6-10'!I135+'октябрь 2014г. по 0,4'!I132</f>
        <v>0</v>
      </c>
      <c r="J135" s="31">
        <f>'октябрь 2014г. по 6-10'!J135+'октябрь 2014г. по 0,4'!J132</f>
        <v>0</v>
      </c>
      <c r="K135" s="31">
        <f>'октябрь 2014г. по 6-10'!K135+'октябрь 2014г. по 0,4'!K132</f>
        <v>0</v>
      </c>
      <c r="L135" s="31">
        <f>'октябрь 2014г. по 6-10'!L135+'октябрь 2014г. по 0,4'!L132</f>
        <v>0</v>
      </c>
      <c r="M135" s="31">
        <f>'октябрь 2014г. по 6-10'!M135+'октябрь 2014г. по 0,4'!M132</f>
        <v>0</v>
      </c>
      <c r="N135" s="31">
        <f>'октябрь 2014г. по 6-10'!N135+'октябрь 2014г. по 0,4'!N132</f>
        <v>0</v>
      </c>
      <c r="O135" s="31">
        <f>'октябрь 2014г. по 6-10'!O135+'октябрь 2014г. по 0,4'!O132</f>
        <v>0</v>
      </c>
      <c r="P135" s="31">
        <f>'октябрь 2014г. по 6-10'!P135+'октябрь 2014г. по 0,4'!P132</f>
        <v>0</v>
      </c>
      <c r="Q135" s="31">
        <f>'октябрь 2014г. по 6-10'!Q135+'октябрь 2014г. по 0,4'!Q132</f>
        <v>0</v>
      </c>
    </row>
    <row r="136" spans="1:17" ht="12.75" customHeight="1" x14ac:dyDescent="0.2">
      <c r="A136" s="18"/>
      <c r="B136" s="53"/>
      <c r="C136" s="50" t="s">
        <v>207</v>
      </c>
      <c r="D136" s="31">
        <f>'октябрь 2014г. по 6-10'!D136+'октябрь 2014г. по 0,4'!D133</f>
        <v>4</v>
      </c>
      <c r="E136" s="31">
        <f>'октябрь 2014г. по 6-10'!E136+'октябрь 2014г. по 0,4'!E133</f>
        <v>354</v>
      </c>
      <c r="F136" s="31">
        <f>'октябрь 2014г. по 6-10'!F136+'октябрь 2014г. по 0,4'!F133</f>
        <v>2</v>
      </c>
      <c r="G136" s="31">
        <f>'октябрь 2014г. по 6-10'!G136+'октябрь 2014г. по 0,4'!G133</f>
        <v>18</v>
      </c>
      <c r="H136" s="31">
        <f>'октябрь 2014г. по 6-10'!H136+'октябрь 2014г. по 0,4'!H133</f>
        <v>0</v>
      </c>
      <c r="I136" s="31">
        <f>'октябрь 2014г. по 6-10'!I136+'октябрь 2014г. по 0,4'!I133</f>
        <v>0</v>
      </c>
      <c r="J136" s="31">
        <f>'октябрь 2014г. по 6-10'!J136+'октябрь 2014г. по 0,4'!J133</f>
        <v>0</v>
      </c>
      <c r="K136" s="31">
        <f>'октябрь 2014г. по 6-10'!K136+'октябрь 2014г. по 0,4'!K133</f>
        <v>0</v>
      </c>
      <c r="L136" s="31">
        <f>'октябрь 2014г. по 6-10'!L136+'октябрь 2014г. по 0,4'!L133</f>
        <v>0</v>
      </c>
      <c r="M136" s="31">
        <f>'октябрь 2014г. по 6-10'!M136+'октябрь 2014г. по 0,4'!M133</f>
        <v>0</v>
      </c>
      <c r="N136" s="31">
        <f>'октябрь 2014г. по 6-10'!N136+'октябрь 2014г. по 0,4'!N133</f>
        <v>0</v>
      </c>
      <c r="O136" s="31">
        <f>'октябрь 2014г. по 6-10'!O136+'октябрь 2014г. по 0,4'!O133</f>
        <v>0</v>
      </c>
      <c r="P136" s="31">
        <f>'октябрь 2014г. по 6-10'!P136+'октябрь 2014г. по 0,4'!P133</f>
        <v>0</v>
      </c>
      <c r="Q136" s="31">
        <f>'октябрь 2014г. по 6-10'!Q136+'октябрь 2014г. по 0,4'!Q133</f>
        <v>0</v>
      </c>
    </row>
    <row r="137" spans="1:17" ht="12.75" customHeight="1" x14ac:dyDescent="0.2">
      <c r="A137" s="18"/>
      <c r="B137" s="53"/>
      <c r="C137" s="50" t="s">
        <v>186</v>
      </c>
      <c r="D137" s="31">
        <f>'октябрь 2014г. по 6-10'!D137+'октябрь 2014г. по 0,4'!D134</f>
        <v>0</v>
      </c>
      <c r="E137" s="31">
        <f>'октябрь 2014г. по 6-10'!E137+'октябрь 2014г. по 0,4'!E134</f>
        <v>0</v>
      </c>
      <c r="F137" s="31">
        <f>'октябрь 2014г. по 6-10'!F137+'октябрь 2014г. по 0,4'!F134</f>
        <v>0</v>
      </c>
      <c r="G137" s="31">
        <f>'октябрь 2014г. по 6-10'!G137+'октябрь 2014г. по 0,4'!G134</f>
        <v>0</v>
      </c>
      <c r="H137" s="31">
        <f>'октябрь 2014г. по 6-10'!H137+'октябрь 2014г. по 0,4'!H134</f>
        <v>0</v>
      </c>
      <c r="I137" s="31">
        <f>'октябрь 2014г. по 6-10'!I137+'октябрь 2014г. по 0,4'!I134</f>
        <v>0</v>
      </c>
      <c r="J137" s="31">
        <f>'октябрь 2014г. по 6-10'!J137+'октябрь 2014г. по 0,4'!J134</f>
        <v>0</v>
      </c>
      <c r="K137" s="31">
        <f>'октябрь 2014г. по 6-10'!K137+'октябрь 2014г. по 0,4'!K134</f>
        <v>0</v>
      </c>
      <c r="L137" s="31">
        <f>'октябрь 2014г. по 6-10'!L137+'октябрь 2014г. по 0,4'!L134</f>
        <v>0</v>
      </c>
      <c r="M137" s="31">
        <f>'октябрь 2014г. по 6-10'!M137+'октябрь 2014г. по 0,4'!M134</f>
        <v>0</v>
      </c>
      <c r="N137" s="31">
        <f>'октябрь 2014г. по 6-10'!N137+'октябрь 2014г. по 0,4'!N134</f>
        <v>0</v>
      </c>
      <c r="O137" s="31">
        <f>'октябрь 2014г. по 6-10'!O137+'октябрь 2014г. по 0,4'!O134</f>
        <v>0</v>
      </c>
      <c r="P137" s="31">
        <f>'октябрь 2014г. по 6-10'!P137+'октябрь 2014г. по 0,4'!P134</f>
        <v>0</v>
      </c>
      <c r="Q137" s="31">
        <f>'октябрь 2014г. по 6-10'!Q137+'октябрь 2014г. по 0,4'!Q134</f>
        <v>0</v>
      </c>
    </row>
    <row r="138" spans="1:17" ht="12.75" customHeight="1" x14ac:dyDescent="0.2">
      <c r="A138" s="18"/>
      <c r="B138" s="53"/>
      <c r="C138" s="50" t="s">
        <v>208</v>
      </c>
      <c r="D138" s="31">
        <f>'октябрь 2014г. по 6-10'!D138+'октябрь 2014г. по 0,4'!D135</f>
        <v>0</v>
      </c>
      <c r="E138" s="31">
        <f>'октябрь 2014г. по 6-10'!E138+'октябрь 2014г. по 0,4'!E135</f>
        <v>0</v>
      </c>
      <c r="F138" s="31">
        <f>'октябрь 2014г. по 6-10'!F138+'октябрь 2014г. по 0,4'!F135</f>
        <v>0</v>
      </c>
      <c r="G138" s="31">
        <f>'октябрь 2014г. по 6-10'!G138+'октябрь 2014г. по 0,4'!G135</f>
        <v>0</v>
      </c>
      <c r="H138" s="31">
        <f>'октябрь 2014г. по 6-10'!H138+'октябрь 2014г. по 0,4'!H135</f>
        <v>0</v>
      </c>
      <c r="I138" s="31">
        <f>'октябрь 2014г. по 6-10'!I138+'октябрь 2014г. по 0,4'!I135</f>
        <v>0</v>
      </c>
      <c r="J138" s="31">
        <f>'октябрь 2014г. по 6-10'!J138+'октябрь 2014г. по 0,4'!J135</f>
        <v>0</v>
      </c>
      <c r="K138" s="31">
        <f>'октябрь 2014г. по 6-10'!K138+'октябрь 2014г. по 0,4'!K135</f>
        <v>0</v>
      </c>
      <c r="L138" s="31">
        <f>'октябрь 2014г. по 6-10'!L138+'октябрь 2014г. по 0,4'!L135</f>
        <v>0</v>
      </c>
      <c r="M138" s="31">
        <f>'октябрь 2014г. по 6-10'!M138+'октябрь 2014г. по 0,4'!M135</f>
        <v>0</v>
      </c>
      <c r="N138" s="31">
        <f>'октябрь 2014г. по 6-10'!N138+'октябрь 2014г. по 0,4'!N135</f>
        <v>0</v>
      </c>
      <c r="O138" s="31">
        <f>'октябрь 2014г. по 6-10'!O138+'октябрь 2014г. по 0,4'!O135</f>
        <v>0</v>
      </c>
      <c r="P138" s="31">
        <f>'октябрь 2014г. по 6-10'!P138+'октябрь 2014г. по 0,4'!P135</f>
        <v>0</v>
      </c>
      <c r="Q138" s="31">
        <f>'октябрь 2014г. по 6-10'!Q138+'октябрь 2014г. по 0,4'!Q135</f>
        <v>0</v>
      </c>
    </row>
    <row r="139" spans="1:17" ht="12.75" customHeight="1" x14ac:dyDescent="0.2">
      <c r="A139" s="18"/>
      <c r="B139" s="53"/>
      <c r="C139" s="50" t="s">
        <v>209</v>
      </c>
      <c r="D139" s="31">
        <f>'октябрь 2014г. по 6-10'!D139+'октябрь 2014г. по 0,4'!D136</f>
        <v>2</v>
      </c>
      <c r="E139" s="31">
        <f>'октябрь 2014г. по 6-10'!E139+'октябрь 2014г. по 0,4'!E136</f>
        <v>155</v>
      </c>
      <c r="F139" s="31">
        <f>'октябрь 2014г. по 6-10'!F139+'октябрь 2014г. по 0,4'!F136</f>
        <v>1</v>
      </c>
      <c r="G139" s="31">
        <f>'октябрь 2014г. по 6-10'!G139+'октябрь 2014г. по 0,4'!G136</f>
        <v>55</v>
      </c>
      <c r="H139" s="31">
        <f>'октябрь 2014г. по 6-10'!H139+'октябрь 2014г. по 0,4'!H136</f>
        <v>0</v>
      </c>
      <c r="I139" s="31">
        <f>'октябрь 2014г. по 6-10'!I139+'октябрь 2014г. по 0,4'!I136</f>
        <v>0</v>
      </c>
      <c r="J139" s="31">
        <f>'октябрь 2014г. по 6-10'!J139+'октябрь 2014г. по 0,4'!J136</f>
        <v>0</v>
      </c>
      <c r="K139" s="31">
        <f>'октябрь 2014г. по 6-10'!K139+'октябрь 2014г. по 0,4'!K136</f>
        <v>0</v>
      </c>
      <c r="L139" s="31">
        <f>'октябрь 2014г. по 6-10'!L139+'октябрь 2014г. по 0,4'!L136</f>
        <v>0</v>
      </c>
      <c r="M139" s="31">
        <f>'октябрь 2014г. по 6-10'!M139+'октябрь 2014г. по 0,4'!M136</f>
        <v>0</v>
      </c>
      <c r="N139" s="31">
        <f>'октябрь 2014г. по 6-10'!N139+'октябрь 2014г. по 0,4'!N136</f>
        <v>0</v>
      </c>
      <c r="O139" s="31">
        <f>'октябрь 2014г. по 6-10'!O139+'октябрь 2014г. по 0,4'!O136</f>
        <v>0</v>
      </c>
      <c r="P139" s="31">
        <f>'октябрь 2014г. по 6-10'!P139+'октябрь 2014г. по 0,4'!P136</f>
        <v>0</v>
      </c>
      <c r="Q139" s="31">
        <f>'октябрь 2014г. по 6-10'!Q139+'октябрь 2014г. по 0,4'!Q136</f>
        <v>0</v>
      </c>
    </row>
    <row r="140" spans="1:17" ht="12.75" customHeight="1" x14ac:dyDescent="0.2">
      <c r="A140" s="18"/>
      <c r="B140" s="53"/>
      <c r="C140" s="50" t="s">
        <v>210</v>
      </c>
      <c r="D140" s="31">
        <f>'октябрь 2014г. по 6-10'!D140+'октябрь 2014г. по 0,4'!D137</f>
        <v>0</v>
      </c>
      <c r="E140" s="31">
        <f>'октябрь 2014г. по 6-10'!E140+'октябрь 2014г. по 0,4'!E137</f>
        <v>0</v>
      </c>
      <c r="F140" s="31">
        <f>'октябрь 2014г. по 6-10'!F140+'октябрь 2014г. по 0,4'!F137</f>
        <v>0</v>
      </c>
      <c r="G140" s="31">
        <f>'октябрь 2014г. по 6-10'!G140+'октябрь 2014г. по 0,4'!G137</f>
        <v>0</v>
      </c>
      <c r="H140" s="31">
        <f>'октябрь 2014г. по 6-10'!H140+'октябрь 2014г. по 0,4'!H137</f>
        <v>0</v>
      </c>
      <c r="I140" s="31">
        <f>'октябрь 2014г. по 6-10'!I140+'октябрь 2014г. по 0,4'!I137</f>
        <v>0</v>
      </c>
      <c r="J140" s="31">
        <f>'октябрь 2014г. по 6-10'!J140+'октябрь 2014г. по 0,4'!J137</f>
        <v>0</v>
      </c>
      <c r="K140" s="31">
        <f>'октябрь 2014г. по 6-10'!K140+'октябрь 2014г. по 0,4'!K137</f>
        <v>0</v>
      </c>
      <c r="L140" s="31">
        <f>'октябрь 2014г. по 6-10'!L140+'октябрь 2014г. по 0,4'!L137</f>
        <v>0</v>
      </c>
      <c r="M140" s="31">
        <f>'октябрь 2014г. по 6-10'!M140+'октябрь 2014г. по 0,4'!M137</f>
        <v>0</v>
      </c>
      <c r="N140" s="31">
        <f>'октябрь 2014г. по 6-10'!N140+'октябрь 2014г. по 0,4'!N137</f>
        <v>0</v>
      </c>
      <c r="O140" s="31">
        <f>'октябрь 2014г. по 6-10'!O140+'октябрь 2014г. по 0,4'!O137</f>
        <v>0</v>
      </c>
      <c r="P140" s="31">
        <f>'октябрь 2014г. по 6-10'!P140+'октябрь 2014г. по 0,4'!P137</f>
        <v>0</v>
      </c>
      <c r="Q140" s="31">
        <f>'октябрь 2014г. по 6-10'!Q140+'октябрь 2014г. по 0,4'!Q137</f>
        <v>0</v>
      </c>
    </row>
    <row r="141" spans="1:17" ht="12.75" customHeight="1" x14ac:dyDescent="0.2">
      <c r="A141" s="18"/>
      <c r="B141" s="53"/>
      <c r="C141" s="50" t="s">
        <v>211</v>
      </c>
      <c r="D141" s="31">
        <f>'октябрь 2014г. по 6-10'!D141+'октябрь 2014г. по 0,4'!D138</f>
        <v>1</v>
      </c>
      <c r="E141" s="31">
        <f>'октябрь 2014г. по 6-10'!E141+'октябрь 2014г. по 0,4'!E138</f>
        <v>120</v>
      </c>
      <c r="F141" s="31">
        <f>'октябрь 2014г. по 6-10'!F141+'октябрь 2014г. по 0,4'!F138</f>
        <v>1</v>
      </c>
      <c r="G141" s="31">
        <f>'октябрь 2014г. по 6-10'!G141+'октябрь 2014г. по 0,4'!G138</f>
        <v>10</v>
      </c>
      <c r="H141" s="31">
        <f>'октябрь 2014г. по 6-10'!H141+'октябрь 2014г. по 0,4'!H138</f>
        <v>0</v>
      </c>
      <c r="I141" s="31">
        <f>'октябрь 2014г. по 6-10'!I141+'октябрь 2014г. по 0,4'!I138</f>
        <v>0</v>
      </c>
      <c r="J141" s="31">
        <f>'октябрь 2014г. по 6-10'!J141+'октябрь 2014г. по 0,4'!J138</f>
        <v>0</v>
      </c>
      <c r="K141" s="31">
        <f>'октябрь 2014г. по 6-10'!K141+'октябрь 2014г. по 0,4'!K138</f>
        <v>0</v>
      </c>
      <c r="L141" s="31">
        <f>'октябрь 2014г. по 6-10'!L141+'октябрь 2014г. по 0,4'!L138</f>
        <v>0</v>
      </c>
      <c r="M141" s="31">
        <f>'октябрь 2014г. по 6-10'!M141+'октябрь 2014г. по 0,4'!M138</f>
        <v>0</v>
      </c>
      <c r="N141" s="31">
        <f>'октябрь 2014г. по 6-10'!N141+'октябрь 2014г. по 0,4'!N138</f>
        <v>0</v>
      </c>
      <c r="O141" s="31">
        <f>'октябрь 2014г. по 6-10'!O141+'октябрь 2014г. по 0,4'!O138</f>
        <v>0</v>
      </c>
      <c r="P141" s="31">
        <f>'октябрь 2014г. по 6-10'!P141+'октябрь 2014г. по 0,4'!P138</f>
        <v>0</v>
      </c>
      <c r="Q141" s="31">
        <f>'октябрь 2014г. по 6-10'!Q141+'октябрь 2014г. по 0,4'!Q138</f>
        <v>0</v>
      </c>
    </row>
    <row r="142" spans="1:17" ht="12.75" customHeight="1" x14ac:dyDescent="0.2">
      <c r="A142" s="18"/>
      <c r="B142" s="53"/>
      <c r="C142" s="50" t="s">
        <v>212</v>
      </c>
      <c r="D142" s="31">
        <f>'октябрь 2014г. по 6-10'!D142+'октябрь 2014г. по 0,4'!D139</f>
        <v>11</v>
      </c>
      <c r="E142" s="31">
        <f>'октябрь 2014г. по 6-10'!E142+'октябрь 2014г. по 0,4'!E139</f>
        <v>91</v>
      </c>
      <c r="F142" s="31">
        <f>'октябрь 2014г. по 6-10'!F142+'октябрь 2014г. по 0,4'!F139</f>
        <v>11</v>
      </c>
      <c r="G142" s="31">
        <f>'октябрь 2014г. по 6-10'!G142+'октябрь 2014г. по 0,4'!G139</f>
        <v>91</v>
      </c>
      <c r="H142" s="31">
        <f>'октябрь 2014г. по 6-10'!H142+'октябрь 2014г. по 0,4'!H139</f>
        <v>0</v>
      </c>
      <c r="I142" s="31">
        <f>'октябрь 2014г. по 6-10'!I142+'октябрь 2014г. по 0,4'!I139</f>
        <v>0</v>
      </c>
      <c r="J142" s="31">
        <f>'октябрь 2014г. по 6-10'!J142+'октябрь 2014г. по 0,4'!J139</f>
        <v>0</v>
      </c>
      <c r="K142" s="31">
        <f>'октябрь 2014г. по 6-10'!K142+'октябрь 2014г. по 0,4'!K139</f>
        <v>0</v>
      </c>
      <c r="L142" s="31">
        <f>'октябрь 2014г. по 6-10'!L142+'октябрь 2014г. по 0,4'!L139</f>
        <v>0</v>
      </c>
      <c r="M142" s="31">
        <f>'октябрь 2014г. по 6-10'!M142+'октябрь 2014г. по 0,4'!M139</f>
        <v>0</v>
      </c>
      <c r="N142" s="31">
        <f>'октябрь 2014г. по 6-10'!N142+'октябрь 2014г. по 0,4'!N139</f>
        <v>0</v>
      </c>
      <c r="O142" s="31">
        <f>'октябрь 2014г. по 6-10'!O142+'октябрь 2014г. по 0,4'!O139</f>
        <v>0</v>
      </c>
      <c r="P142" s="31">
        <f>'октябрь 2014г. по 6-10'!P142+'октябрь 2014г. по 0,4'!P139</f>
        <v>0</v>
      </c>
      <c r="Q142" s="31">
        <f>'октябрь 2014г. по 6-10'!Q142+'октябрь 2014г. по 0,4'!Q139</f>
        <v>0</v>
      </c>
    </row>
    <row r="143" spans="1:17" ht="12.75" customHeight="1" x14ac:dyDescent="0.2">
      <c r="A143" s="18"/>
      <c r="B143" s="53"/>
      <c r="C143" s="50" t="s">
        <v>213</v>
      </c>
      <c r="D143" s="31">
        <f>'октябрь 2014г. по 6-10'!D143+'октябрь 2014г. по 0,4'!D140</f>
        <v>4</v>
      </c>
      <c r="E143" s="31">
        <f>'октябрь 2014г. по 6-10'!E143+'октябрь 2014г. по 0,4'!E140</f>
        <v>110</v>
      </c>
      <c r="F143" s="31">
        <f>'октябрь 2014г. по 6-10'!F143+'октябрь 2014г. по 0,4'!F140</f>
        <v>3</v>
      </c>
      <c r="G143" s="31">
        <f>'октябрь 2014г. по 6-10'!G143+'октябрь 2014г. по 0,4'!G140</f>
        <v>30</v>
      </c>
      <c r="H143" s="31">
        <f>'октябрь 2014г. по 6-10'!H143+'октябрь 2014г. по 0,4'!H140</f>
        <v>0</v>
      </c>
      <c r="I143" s="31">
        <f>'октябрь 2014г. по 6-10'!I143+'октябрь 2014г. по 0,4'!I140</f>
        <v>0</v>
      </c>
      <c r="J143" s="31">
        <f>'октябрь 2014г. по 6-10'!J143+'октябрь 2014г. по 0,4'!J140</f>
        <v>0</v>
      </c>
      <c r="K143" s="31">
        <f>'октябрь 2014г. по 6-10'!K143+'октябрь 2014г. по 0,4'!K140</f>
        <v>0</v>
      </c>
      <c r="L143" s="31">
        <f>'октябрь 2014г. по 6-10'!L143+'октябрь 2014г. по 0,4'!L140</f>
        <v>0</v>
      </c>
      <c r="M143" s="31">
        <f>'октябрь 2014г. по 6-10'!M143+'октябрь 2014г. по 0,4'!M140</f>
        <v>0</v>
      </c>
      <c r="N143" s="31">
        <f>'октябрь 2014г. по 6-10'!N143+'октябрь 2014г. по 0,4'!N140</f>
        <v>0</v>
      </c>
      <c r="O143" s="31">
        <f>'октябрь 2014г. по 6-10'!O143+'октябрь 2014г. по 0,4'!O140</f>
        <v>0</v>
      </c>
      <c r="P143" s="31">
        <f>'октябрь 2014г. по 6-10'!P143+'октябрь 2014г. по 0,4'!P140</f>
        <v>0</v>
      </c>
      <c r="Q143" s="31">
        <f>'октябрь 2014г. по 6-10'!Q143+'октябрь 2014г. по 0,4'!Q140</f>
        <v>0</v>
      </c>
    </row>
    <row r="144" spans="1:17" ht="12.75" customHeight="1" x14ac:dyDescent="0.2">
      <c r="A144" s="18"/>
      <c r="B144" s="53"/>
      <c r="C144" s="50" t="s">
        <v>214</v>
      </c>
      <c r="D144" s="31">
        <f>'октябрь 2014г. по 6-10'!D144+'октябрь 2014г. по 0,4'!D141</f>
        <v>0</v>
      </c>
      <c r="E144" s="31">
        <f>'октябрь 2014г. по 6-10'!E144+'октябрь 2014г. по 0,4'!E141</f>
        <v>0</v>
      </c>
      <c r="F144" s="31">
        <f>'октябрь 2014г. по 6-10'!F144+'октябрь 2014г. по 0,4'!F141</f>
        <v>0</v>
      </c>
      <c r="G144" s="31">
        <f>'октябрь 2014г. по 6-10'!G144+'октябрь 2014г. по 0,4'!G141</f>
        <v>0</v>
      </c>
      <c r="H144" s="31">
        <f>'октябрь 2014г. по 6-10'!H144+'октябрь 2014г. по 0,4'!H141</f>
        <v>0</v>
      </c>
      <c r="I144" s="31">
        <f>'октябрь 2014г. по 6-10'!I144+'октябрь 2014г. по 0,4'!I141</f>
        <v>0</v>
      </c>
      <c r="J144" s="31">
        <f>'октябрь 2014г. по 6-10'!J144+'октябрь 2014г. по 0,4'!J141</f>
        <v>0</v>
      </c>
      <c r="K144" s="31">
        <f>'октябрь 2014г. по 6-10'!K144+'октябрь 2014г. по 0,4'!K141</f>
        <v>0</v>
      </c>
      <c r="L144" s="31">
        <f>'октябрь 2014г. по 6-10'!L144+'октябрь 2014г. по 0,4'!L141</f>
        <v>0</v>
      </c>
      <c r="M144" s="31">
        <f>'октябрь 2014г. по 6-10'!M144+'октябрь 2014г. по 0,4'!M141</f>
        <v>0</v>
      </c>
      <c r="N144" s="31">
        <f>'октябрь 2014г. по 6-10'!N144+'октябрь 2014г. по 0,4'!N141</f>
        <v>0</v>
      </c>
      <c r="O144" s="31">
        <f>'октябрь 2014г. по 6-10'!O144+'октябрь 2014г. по 0,4'!O141</f>
        <v>0</v>
      </c>
      <c r="P144" s="31">
        <f>'октябрь 2014г. по 6-10'!P144+'октябрь 2014г. по 0,4'!P141</f>
        <v>0</v>
      </c>
      <c r="Q144" s="31">
        <f>'октябрь 2014г. по 6-10'!Q144+'октябрь 2014г. по 0,4'!Q141</f>
        <v>0</v>
      </c>
    </row>
    <row r="145" spans="1:17" ht="12.75" customHeight="1" x14ac:dyDescent="0.2">
      <c r="A145" s="18"/>
      <c r="B145" s="53"/>
      <c r="C145" s="50" t="s">
        <v>215</v>
      </c>
      <c r="D145" s="31">
        <f>'октябрь 2014г. по 6-10'!D145+'октябрь 2014г. по 0,4'!D142</f>
        <v>3</v>
      </c>
      <c r="E145" s="31">
        <f>'октябрь 2014г. по 6-10'!E145+'октябрь 2014г. по 0,4'!E142</f>
        <v>34</v>
      </c>
      <c r="F145" s="31">
        <f>'октябрь 2014г. по 6-10'!F145+'октябрь 2014г. по 0,4'!F142</f>
        <v>3</v>
      </c>
      <c r="G145" s="31">
        <f>'октябрь 2014г. по 6-10'!G145+'октябрь 2014г. по 0,4'!G142</f>
        <v>34</v>
      </c>
      <c r="H145" s="31">
        <f>'октябрь 2014г. по 6-10'!H145+'октябрь 2014г. по 0,4'!H142</f>
        <v>0</v>
      </c>
      <c r="I145" s="31">
        <f>'октябрь 2014г. по 6-10'!I145+'октябрь 2014г. по 0,4'!I142</f>
        <v>0</v>
      </c>
      <c r="J145" s="31">
        <f>'октябрь 2014г. по 6-10'!J145+'октябрь 2014г. по 0,4'!J142</f>
        <v>0</v>
      </c>
      <c r="K145" s="31">
        <f>'октябрь 2014г. по 6-10'!K145+'октябрь 2014г. по 0,4'!K142</f>
        <v>0</v>
      </c>
      <c r="L145" s="31">
        <f>'октябрь 2014г. по 6-10'!L145+'октябрь 2014г. по 0,4'!L142</f>
        <v>0</v>
      </c>
      <c r="M145" s="31">
        <f>'октябрь 2014г. по 6-10'!M145+'октябрь 2014г. по 0,4'!M142</f>
        <v>0</v>
      </c>
      <c r="N145" s="31">
        <f>'октябрь 2014г. по 6-10'!N145+'октябрь 2014г. по 0,4'!N142</f>
        <v>0</v>
      </c>
      <c r="O145" s="31">
        <f>'октябрь 2014г. по 6-10'!O145+'октябрь 2014г. по 0,4'!O142</f>
        <v>0</v>
      </c>
      <c r="P145" s="31">
        <f>'октябрь 2014г. по 6-10'!P145+'октябрь 2014г. по 0,4'!P142</f>
        <v>0</v>
      </c>
      <c r="Q145" s="31">
        <f>'октябрь 2014г. по 6-10'!Q145+'октябрь 2014г. по 0,4'!Q142</f>
        <v>0</v>
      </c>
    </row>
    <row r="146" spans="1:17" ht="12.75" customHeight="1" x14ac:dyDescent="0.2">
      <c r="A146" s="18"/>
      <c r="B146" s="53"/>
      <c r="C146" s="56" t="s">
        <v>216</v>
      </c>
      <c r="D146" s="31">
        <f>'октябрь 2014г. по 6-10'!D146+'октябрь 2014г. по 0,4'!D143</f>
        <v>1</v>
      </c>
      <c r="E146" s="31">
        <f>'октябрь 2014г. по 6-10'!E146+'октябрь 2014г. по 0,4'!E143</f>
        <v>12</v>
      </c>
      <c r="F146" s="31">
        <f>'октябрь 2014г. по 6-10'!F146+'октябрь 2014г. по 0,4'!F143</f>
        <v>1</v>
      </c>
      <c r="G146" s="31">
        <f>'октябрь 2014г. по 6-10'!G146+'октябрь 2014г. по 0,4'!G143</f>
        <v>12</v>
      </c>
      <c r="H146" s="31">
        <f>'октябрь 2014г. по 6-10'!H146+'октябрь 2014г. по 0,4'!H143</f>
        <v>0</v>
      </c>
      <c r="I146" s="31">
        <f>'октябрь 2014г. по 6-10'!I146+'октябрь 2014г. по 0,4'!I143</f>
        <v>0</v>
      </c>
      <c r="J146" s="31">
        <f>'октябрь 2014г. по 6-10'!J146+'октябрь 2014г. по 0,4'!J143</f>
        <v>0</v>
      </c>
      <c r="K146" s="31">
        <f>'октябрь 2014г. по 6-10'!K146+'октябрь 2014г. по 0,4'!K143</f>
        <v>0</v>
      </c>
      <c r="L146" s="31">
        <f>'октябрь 2014г. по 6-10'!L146+'октябрь 2014г. по 0,4'!L143</f>
        <v>0</v>
      </c>
      <c r="M146" s="31">
        <f>'октябрь 2014г. по 6-10'!M146+'октябрь 2014г. по 0,4'!M143</f>
        <v>0</v>
      </c>
      <c r="N146" s="31">
        <f>'октябрь 2014г. по 6-10'!N146+'октябрь 2014г. по 0,4'!N143</f>
        <v>0</v>
      </c>
      <c r="O146" s="31">
        <f>'октябрь 2014г. по 6-10'!O146+'октябрь 2014г. по 0,4'!O143</f>
        <v>0</v>
      </c>
      <c r="P146" s="31">
        <f>'октябрь 2014г. по 6-10'!P146+'октябрь 2014г. по 0,4'!P143</f>
        <v>0</v>
      </c>
      <c r="Q146" s="31">
        <f>'октябрь 2014г. по 6-10'!Q146+'октябрь 2014г. по 0,4'!Q143</f>
        <v>0</v>
      </c>
    </row>
    <row r="147" spans="1:17" ht="12.75" customHeight="1" x14ac:dyDescent="0.2">
      <c r="A147" s="18"/>
      <c r="B147" s="53"/>
      <c r="C147" s="57" t="s">
        <v>217</v>
      </c>
      <c r="D147" s="31">
        <f>'октябрь 2014г. по 6-10'!D147+'октябрь 2014г. по 0,4'!D144</f>
        <v>19</v>
      </c>
      <c r="E147" s="31">
        <f>'октябрь 2014г. по 6-10'!E147+'октябрь 2014г. по 0,4'!E144</f>
        <v>194.7</v>
      </c>
      <c r="F147" s="31">
        <f>'октябрь 2014г. по 6-10'!F147+'октябрь 2014г. по 0,4'!F144</f>
        <v>18</v>
      </c>
      <c r="G147" s="31">
        <f>'октябрь 2014г. по 6-10'!G147+'октябрь 2014г. по 0,4'!G144</f>
        <v>94.7</v>
      </c>
      <c r="H147" s="31">
        <f>'октябрь 2014г. по 6-10'!H147+'октябрь 2014г. по 0,4'!H144</f>
        <v>0</v>
      </c>
      <c r="I147" s="31">
        <f>'октябрь 2014г. по 6-10'!I147+'октябрь 2014г. по 0,4'!I144</f>
        <v>0</v>
      </c>
      <c r="J147" s="31">
        <f>'октябрь 2014г. по 6-10'!J147+'октябрь 2014г. по 0,4'!J144</f>
        <v>0</v>
      </c>
      <c r="K147" s="31">
        <f>'октябрь 2014г. по 6-10'!K147+'октябрь 2014г. по 0,4'!K144</f>
        <v>0</v>
      </c>
      <c r="L147" s="31">
        <f>'октябрь 2014г. по 6-10'!L147+'октябрь 2014г. по 0,4'!L144</f>
        <v>0</v>
      </c>
      <c r="M147" s="31">
        <f>'октябрь 2014г. по 6-10'!M147+'октябрь 2014г. по 0,4'!M144</f>
        <v>0</v>
      </c>
      <c r="N147" s="31">
        <f>'октябрь 2014г. по 6-10'!N147+'октябрь 2014г. по 0,4'!N144</f>
        <v>0</v>
      </c>
      <c r="O147" s="31">
        <f>'октябрь 2014г. по 6-10'!O147+'октябрь 2014г. по 0,4'!O144</f>
        <v>0</v>
      </c>
      <c r="P147" s="31">
        <f>'октябрь 2014г. по 6-10'!P147+'октябрь 2014г. по 0,4'!P144</f>
        <v>0</v>
      </c>
      <c r="Q147" s="31">
        <f>'октябрь 2014г. по 6-10'!Q147+'октябрь 2014г. по 0,4'!Q144</f>
        <v>0</v>
      </c>
    </row>
    <row r="148" spans="1:17" ht="12.75" customHeight="1" x14ac:dyDescent="0.2">
      <c r="A148" s="18"/>
      <c r="B148" s="53"/>
      <c r="C148" s="50" t="s">
        <v>218</v>
      </c>
      <c r="D148" s="31">
        <f>'октябрь 2014г. по 6-10'!D148+'октябрь 2014г. по 0,4'!D145</f>
        <v>5</v>
      </c>
      <c r="E148" s="31">
        <f>'октябрь 2014г. по 6-10'!E148+'октябрь 2014г. по 0,4'!E145</f>
        <v>33</v>
      </c>
      <c r="F148" s="31">
        <f>'октябрь 2014г. по 6-10'!F148+'октябрь 2014г. по 0,4'!F145</f>
        <v>4</v>
      </c>
      <c r="G148" s="31">
        <f>'октябрь 2014г. по 6-10'!G148+'октябрь 2014г. по 0,4'!G145</f>
        <v>23</v>
      </c>
      <c r="H148" s="31">
        <f>'октябрь 2014г. по 6-10'!H148+'октябрь 2014г. по 0,4'!H145</f>
        <v>0</v>
      </c>
      <c r="I148" s="31">
        <f>'октябрь 2014г. по 6-10'!I148+'октябрь 2014г. по 0,4'!I145</f>
        <v>0</v>
      </c>
      <c r="J148" s="31">
        <f>'октябрь 2014г. по 6-10'!J148+'октябрь 2014г. по 0,4'!J145</f>
        <v>1</v>
      </c>
      <c r="K148" s="31">
        <f>'октябрь 2014г. по 6-10'!K148+'октябрь 2014г. по 0,4'!K145</f>
        <v>5</v>
      </c>
      <c r="L148" s="31">
        <f>'октябрь 2014г. по 6-10'!L148+'октябрь 2014г. по 0,4'!L145</f>
        <v>0</v>
      </c>
      <c r="M148" s="31">
        <f>'октябрь 2014г. по 6-10'!M148+'октябрь 2014г. по 0,4'!M145</f>
        <v>0</v>
      </c>
      <c r="N148" s="31">
        <f>'октябрь 2014г. по 6-10'!N148+'октябрь 2014г. по 0,4'!N145</f>
        <v>0</v>
      </c>
      <c r="O148" s="31">
        <f>'октябрь 2014г. по 6-10'!O148+'октябрь 2014г. по 0,4'!O145</f>
        <v>0</v>
      </c>
      <c r="P148" s="31">
        <f>'октябрь 2014г. по 6-10'!P148+'октябрь 2014г. по 0,4'!P145</f>
        <v>0</v>
      </c>
      <c r="Q148" s="31">
        <f>'октябрь 2014г. по 6-10'!Q148+'октябрь 2014г. по 0,4'!Q145</f>
        <v>0</v>
      </c>
    </row>
    <row r="149" spans="1:17" ht="12.75" customHeight="1" x14ac:dyDescent="0.2">
      <c r="A149" s="18"/>
      <c r="B149" s="53"/>
      <c r="C149" s="50" t="s">
        <v>219</v>
      </c>
      <c r="D149" s="31">
        <f>'октябрь 2014г. по 6-10'!D149+'октябрь 2014г. по 0,4'!D146</f>
        <v>3</v>
      </c>
      <c r="E149" s="31">
        <f>'октябрь 2014г. по 6-10'!E149+'октябрь 2014г. по 0,4'!E146</f>
        <v>8.5</v>
      </c>
      <c r="F149" s="31">
        <f>'октябрь 2014г. по 6-10'!F149+'октябрь 2014г. по 0,4'!F146</f>
        <v>3</v>
      </c>
      <c r="G149" s="31">
        <f>'октябрь 2014г. по 6-10'!G149+'октябрь 2014г. по 0,4'!G146</f>
        <v>8.5</v>
      </c>
      <c r="H149" s="31">
        <f>'октябрь 2014г. по 6-10'!H149+'октябрь 2014г. по 0,4'!H146</f>
        <v>0</v>
      </c>
      <c r="I149" s="31">
        <f>'октябрь 2014г. по 6-10'!I149+'октябрь 2014г. по 0,4'!I146</f>
        <v>0</v>
      </c>
      <c r="J149" s="31">
        <f>'октябрь 2014г. по 6-10'!J149+'октябрь 2014г. по 0,4'!J146</f>
        <v>0</v>
      </c>
      <c r="K149" s="31">
        <f>'октябрь 2014г. по 6-10'!K149+'октябрь 2014г. по 0,4'!K146</f>
        <v>0</v>
      </c>
      <c r="L149" s="31">
        <f>'октябрь 2014г. по 6-10'!L149+'октябрь 2014г. по 0,4'!L146</f>
        <v>0</v>
      </c>
      <c r="M149" s="31">
        <f>'октябрь 2014г. по 6-10'!M149+'октябрь 2014г. по 0,4'!M146</f>
        <v>0</v>
      </c>
      <c r="N149" s="31">
        <f>'октябрь 2014г. по 6-10'!N149+'октябрь 2014г. по 0,4'!N146</f>
        <v>0</v>
      </c>
      <c r="O149" s="31">
        <f>'октябрь 2014г. по 6-10'!O149+'октябрь 2014г. по 0,4'!O146</f>
        <v>0</v>
      </c>
      <c r="P149" s="31">
        <f>'октябрь 2014г. по 6-10'!P149+'октябрь 2014г. по 0,4'!P146</f>
        <v>0</v>
      </c>
      <c r="Q149" s="31">
        <f>'октябрь 2014г. по 6-10'!Q149+'октябрь 2014г. по 0,4'!Q146</f>
        <v>0</v>
      </c>
    </row>
    <row r="150" spans="1:17" ht="12.75" customHeight="1" x14ac:dyDescent="0.2">
      <c r="A150" s="18"/>
      <c r="B150" s="53"/>
      <c r="C150" s="50" t="s">
        <v>220</v>
      </c>
      <c r="D150" s="31">
        <f>'октябрь 2014г. по 6-10'!D150+'октябрь 2014г. по 0,4'!D147</f>
        <v>11</v>
      </c>
      <c r="E150" s="31">
        <f>'октябрь 2014г. по 6-10'!E150+'октябрь 2014г. по 0,4'!E147</f>
        <v>102.5</v>
      </c>
      <c r="F150" s="31">
        <f>'октябрь 2014г. по 6-10'!F150+'октябрь 2014г. по 0,4'!F147</f>
        <v>11</v>
      </c>
      <c r="G150" s="31">
        <f>'октябрь 2014г. по 6-10'!G150+'октябрь 2014г. по 0,4'!G147</f>
        <v>102.5</v>
      </c>
      <c r="H150" s="31">
        <f>'октябрь 2014г. по 6-10'!H150+'октябрь 2014г. по 0,4'!H147</f>
        <v>0</v>
      </c>
      <c r="I150" s="31">
        <f>'октябрь 2014г. по 6-10'!I150+'октябрь 2014г. по 0,4'!I147</f>
        <v>0</v>
      </c>
      <c r="J150" s="31">
        <f>'октябрь 2014г. по 6-10'!J150+'октябрь 2014г. по 0,4'!J147</f>
        <v>0</v>
      </c>
      <c r="K150" s="31">
        <f>'октябрь 2014г. по 6-10'!K150+'октябрь 2014г. по 0,4'!K147</f>
        <v>0</v>
      </c>
      <c r="L150" s="31">
        <f>'октябрь 2014г. по 6-10'!L150+'октябрь 2014г. по 0,4'!L147</f>
        <v>0</v>
      </c>
      <c r="M150" s="31">
        <f>'октябрь 2014г. по 6-10'!M150+'октябрь 2014г. по 0,4'!M147</f>
        <v>0</v>
      </c>
      <c r="N150" s="31">
        <f>'октябрь 2014г. по 6-10'!N150+'октябрь 2014г. по 0,4'!N147</f>
        <v>0</v>
      </c>
      <c r="O150" s="31">
        <f>'октябрь 2014г. по 6-10'!O150+'октябрь 2014г. по 0,4'!O147</f>
        <v>0</v>
      </c>
      <c r="P150" s="31">
        <f>'октябрь 2014г. по 6-10'!P150+'октябрь 2014г. по 0,4'!P147</f>
        <v>0</v>
      </c>
      <c r="Q150" s="31">
        <f>'октябрь 2014г. по 6-10'!Q150+'октябрь 2014г. по 0,4'!Q147</f>
        <v>0</v>
      </c>
    </row>
    <row r="151" spans="1:17" ht="12.75" customHeight="1" x14ac:dyDescent="0.2">
      <c r="A151" s="18"/>
      <c r="B151" s="53"/>
      <c r="C151" s="50" t="s">
        <v>221</v>
      </c>
      <c r="D151" s="31">
        <f>'октябрь 2014г. по 6-10'!D151+'октябрь 2014г. по 0,4'!D148</f>
        <v>1</v>
      </c>
      <c r="E151" s="31">
        <f>'октябрь 2014г. по 6-10'!E151+'октябрь 2014г. по 0,4'!E148</f>
        <v>3</v>
      </c>
      <c r="F151" s="31">
        <f>'октябрь 2014г. по 6-10'!F151+'октябрь 2014г. по 0,4'!F148</f>
        <v>1</v>
      </c>
      <c r="G151" s="31">
        <f>'октябрь 2014г. по 6-10'!G151+'октябрь 2014г. по 0,4'!G148</f>
        <v>3</v>
      </c>
      <c r="H151" s="31">
        <f>'октябрь 2014г. по 6-10'!H151+'октябрь 2014г. по 0,4'!H148</f>
        <v>0</v>
      </c>
      <c r="I151" s="31">
        <f>'октябрь 2014г. по 6-10'!I151+'октябрь 2014г. по 0,4'!I148</f>
        <v>0</v>
      </c>
      <c r="J151" s="31">
        <f>'октябрь 2014г. по 6-10'!J151+'октябрь 2014г. по 0,4'!J148</f>
        <v>0</v>
      </c>
      <c r="K151" s="31">
        <f>'октябрь 2014г. по 6-10'!K151+'октябрь 2014г. по 0,4'!K148</f>
        <v>0</v>
      </c>
      <c r="L151" s="31">
        <f>'октябрь 2014г. по 6-10'!L151+'октябрь 2014г. по 0,4'!L148</f>
        <v>0</v>
      </c>
      <c r="M151" s="31">
        <f>'октябрь 2014г. по 6-10'!M151+'октябрь 2014г. по 0,4'!M148</f>
        <v>0</v>
      </c>
      <c r="N151" s="31">
        <f>'октябрь 2014г. по 6-10'!N151+'октябрь 2014г. по 0,4'!N148</f>
        <v>0</v>
      </c>
      <c r="O151" s="31">
        <f>'октябрь 2014г. по 6-10'!O151+'октябрь 2014г. по 0,4'!O148</f>
        <v>0</v>
      </c>
      <c r="P151" s="31">
        <f>'октябрь 2014г. по 6-10'!P151+'октябрь 2014г. по 0,4'!P148</f>
        <v>0</v>
      </c>
      <c r="Q151" s="31">
        <f>'октябрь 2014г. по 6-10'!Q151+'октябрь 2014г. по 0,4'!Q148</f>
        <v>0</v>
      </c>
    </row>
    <row r="152" spans="1:17" ht="12.75" customHeight="1" x14ac:dyDescent="0.2">
      <c r="A152" s="18"/>
      <c r="B152" s="53"/>
      <c r="C152" s="50" t="s">
        <v>222</v>
      </c>
      <c r="D152" s="31">
        <f>'октябрь 2014г. по 6-10'!D152+'октябрь 2014г. по 0,4'!D149</f>
        <v>1</v>
      </c>
      <c r="E152" s="31">
        <f>'октябрь 2014г. по 6-10'!E152+'октябрь 2014г. по 0,4'!E149</f>
        <v>5</v>
      </c>
      <c r="F152" s="31">
        <f>'октябрь 2014г. по 6-10'!F152+'октябрь 2014г. по 0,4'!F149</f>
        <v>1</v>
      </c>
      <c r="G152" s="31">
        <f>'октябрь 2014г. по 6-10'!G152+'октябрь 2014г. по 0,4'!G149</f>
        <v>5</v>
      </c>
      <c r="H152" s="31">
        <f>'октябрь 2014г. по 6-10'!H152+'октябрь 2014г. по 0,4'!H149</f>
        <v>0</v>
      </c>
      <c r="I152" s="31">
        <f>'октябрь 2014г. по 6-10'!I152+'октябрь 2014г. по 0,4'!I149</f>
        <v>0</v>
      </c>
      <c r="J152" s="31">
        <f>'октябрь 2014г. по 6-10'!J152+'октябрь 2014г. по 0,4'!J149</f>
        <v>0</v>
      </c>
      <c r="K152" s="31">
        <f>'октябрь 2014г. по 6-10'!K152+'октябрь 2014г. по 0,4'!K149</f>
        <v>0</v>
      </c>
      <c r="L152" s="31">
        <f>'октябрь 2014г. по 6-10'!L152+'октябрь 2014г. по 0,4'!L149</f>
        <v>0</v>
      </c>
      <c r="M152" s="31">
        <f>'октябрь 2014г. по 6-10'!M152+'октябрь 2014г. по 0,4'!M149</f>
        <v>0</v>
      </c>
      <c r="N152" s="31">
        <f>'октябрь 2014г. по 6-10'!N152+'октябрь 2014г. по 0,4'!N149</f>
        <v>0</v>
      </c>
      <c r="O152" s="31">
        <f>'октябрь 2014г. по 6-10'!O152+'октябрь 2014г. по 0,4'!O149</f>
        <v>0</v>
      </c>
      <c r="P152" s="31">
        <f>'октябрь 2014г. по 6-10'!P152+'октябрь 2014г. по 0,4'!P149</f>
        <v>0</v>
      </c>
      <c r="Q152" s="31">
        <f>'октябрь 2014г. по 6-10'!Q152+'октябрь 2014г. по 0,4'!Q149</f>
        <v>0</v>
      </c>
    </row>
    <row r="153" spans="1:17" ht="18.75" customHeight="1" x14ac:dyDescent="0.2">
      <c r="A153" s="18"/>
      <c r="B153" s="53"/>
      <c r="C153" s="20" t="s">
        <v>30</v>
      </c>
      <c r="D153" s="88">
        <f>SUM(D104:D152)</f>
        <v>481</v>
      </c>
      <c r="E153" s="88">
        <f t="shared" ref="E153:Q153" si="2">SUM(E104:E152)</f>
        <v>18038.999999999996</v>
      </c>
      <c r="F153" s="88">
        <f t="shared" si="2"/>
        <v>350</v>
      </c>
      <c r="G153" s="88">
        <f t="shared" si="2"/>
        <v>7593.2999999999984</v>
      </c>
      <c r="H153" s="88">
        <f t="shared" si="2"/>
        <v>0</v>
      </c>
      <c r="I153" s="88">
        <f t="shared" si="2"/>
        <v>0</v>
      </c>
      <c r="J153" s="88">
        <f t="shared" si="2"/>
        <v>346</v>
      </c>
      <c r="K153" s="88">
        <f t="shared" si="2"/>
        <v>4178</v>
      </c>
      <c r="L153" s="88">
        <f t="shared" si="2"/>
        <v>0</v>
      </c>
      <c r="M153" s="88">
        <f t="shared" si="2"/>
        <v>0</v>
      </c>
      <c r="N153" s="88">
        <f t="shared" si="2"/>
        <v>0</v>
      </c>
      <c r="O153" s="88">
        <f t="shared" si="2"/>
        <v>0</v>
      </c>
      <c r="P153" s="88">
        <f t="shared" si="2"/>
        <v>0</v>
      </c>
      <c r="Q153" s="88">
        <f t="shared" si="2"/>
        <v>0</v>
      </c>
    </row>
    <row r="154" spans="1:17" ht="15" x14ac:dyDescent="0.25">
      <c r="A154" s="18"/>
      <c r="B154" s="18"/>
      <c r="C154" s="52" t="s">
        <v>250</v>
      </c>
      <c r="D154" s="31"/>
      <c r="E154" s="31"/>
      <c r="F154" s="31"/>
      <c r="G154" s="31"/>
      <c r="H154" s="24"/>
      <c r="I154" s="24"/>
      <c r="J154" s="31"/>
      <c r="K154" s="31"/>
      <c r="L154" s="8"/>
      <c r="M154" s="8"/>
      <c r="N154" s="8"/>
      <c r="O154" s="8"/>
      <c r="P154" s="8"/>
      <c r="Q154" s="8"/>
    </row>
    <row r="155" spans="1:17" ht="12.75" customHeight="1" x14ac:dyDescent="0.2">
      <c r="A155" s="18"/>
      <c r="B155" s="18"/>
      <c r="C155" s="18" t="s">
        <v>224</v>
      </c>
      <c r="D155" s="31">
        <f>'октябрь 2014г. по 6-10'!D155+'октябрь 2014г. по 0,4'!D152</f>
        <v>85</v>
      </c>
      <c r="E155" s="31">
        <f>'октябрь 2014г. по 6-10'!E155+'октябрь 2014г. по 0,4'!E152</f>
        <v>2361</v>
      </c>
      <c r="F155" s="31">
        <f>'октябрь 2014г. по 6-10'!F155+'октябрь 2014г. по 0,4'!F152</f>
        <v>20</v>
      </c>
      <c r="G155" s="31">
        <f>'октябрь 2014г. по 6-10'!G155+'октябрь 2014г. по 0,4'!G152</f>
        <v>843</v>
      </c>
      <c r="H155" s="31">
        <f>'октябрь 2014г. по 6-10'!H155+'октябрь 2014г. по 0,4'!H152</f>
        <v>0</v>
      </c>
      <c r="I155" s="31">
        <f>'октябрь 2014г. по 6-10'!I155+'октябрь 2014г. по 0,4'!I152</f>
        <v>0</v>
      </c>
      <c r="J155" s="31">
        <f>'октябрь 2014г. по 6-10'!J155+'октябрь 2014г. по 0,4'!J152</f>
        <v>36</v>
      </c>
      <c r="K155" s="31">
        <f>'октябрь 2014г. по 6-10'!K155+'октябрь 2014г. по 0,4'!K152</f>
        <v>542</v>
      </c>
      <c r="L155" s="31">
        <f>'октябрь 2014г. по 6-10'!L155+'октябрь 2014г. по 0,4'!L152</f>
        <v>0</v>
      </c>
      <c r="M155" s="31">
        <f>'октябрь 2014г. по 6-10'!M155+'октябрь 2014г. по 0,4'!M152</f>
        <v>0</v>
      </c>
      <c r="N155" s="31">
        <f>'октябрь 2014г. по 6-10'!N155+'октябрь 2014г. по 0,4'!N152</f>
        <v>0</v>
      </c>
      <c r="O155" s="31">
        <f>'октябрь 2014г. по 6-10'!O155+'октябрь 2014г. по 0,4'!O152</f>
        <v>0</v>
      </c>
      <c r="P155" s="31">
        <f>'октябрь 2014г. по 6-10'!P155+'октябрь 2014г. по 0,4'!P152</f>
        <v>0</v>
      </c>
      <c r="Q155" s="31">
        <f>'октябрь 2014г. по 6-10'!Q155+'октябрь 2014г. по 0,4'!Q152</f>
        <v>0</v>
      </c>
    </row>
    <row r="156" spans="1:17" ht="12.75" customHeight="1" x14ac:dyDescent="0.2">
      <c r="A156" s="18"/>
      <c r="B156" s="18"/>
      <c r="C156" s="18" t="s">
        <v>225</v>
      </c>
      <c r="D156" s="31">
        <f>'октябрь 2014г. по 6-10'!D156+'октябрь 2014г. по 0,4'!D153</f>
        <v>49</v>
      </c>
      <c r="E156" s="31">
        <f>'октябрь 2014г. по 6-10'!E156+'октябрь 2014г. по 0,4'!E153</f>
        <v>1950</v>
      </c>
      <c r="F156" s="31">
        <f>'октябрь 2014г. по 6-10'!F156+'октябрь 2014г. по 0,4'!F153</f>
        <v>6</v>
      </c>
      <c r="G156" s="31">
        <f>'октябрь 2014г. по 6-10'!G156+'октябрь 2014г. по 0,4'!G153</f>
        <v>63</v>
      </c>
      <c r="H156" s="31">
        <f>'октябрь 2014г. по 6-10'!H156+'октябрь 2014г. по 0,4'!H153</f>
        <v>0</v>
      </c>
      <c r="I156" s="31">
        <f>'октябрь 2014г. по 6-10'!I156+'октябрь 2014г. по 0,4'!I153</f>
        <v>0</v>
      </c>
      <c r="J156" s="31">
        <f>'октябрь 2014г. по 6-10'!J156+'октябрь 2014г. по 0,4'!J153</f>
        <v>18</v>
      </c>
      <c r="K156" s="31">
        <f>'октябрь 2014г. по 6-10'!K156+'октябрь 2014г. по 0,4'!K153</f>
        <v>311</v>
      </c>
      <c r="L156" s="31">
        <f>'октябрь 2014г. по 6-10'!L156+'октябрь 2014г. по 0,4'!L153</f>
        <v>0</v>
      </c>
      <c r="M156" s="31">
        <f>'октябрь 2014г. по 6-10'!M156+'октябрь 2014г. по 0,4'!M153</f>
        <v>0</v>
      </c>
      <c r="N156" s="31">
        <f>'октябрь 2014г. по 6-10'!N156+'октябрь 2014г. по 0,4'!N153</f>
        <v>0</v>
      </c>
      <c r="O156" s="31">
        <f>'октябрь 2014г. по 6-10'!O156+'октябрь 2014г. по 0,4'!O153</f>
        <v>0</v>
      </c>
      <c r="P156" s="31">
        <f>'октябрь 2014г. по 6-10'!P156+'октябрь 2014г. по 0,4'!P153</f>
        <v>0</v>
      </c>
      <c r="Q156" s="31">
        <f>'октябрь 2014г. по 6-10'!Q156+'октябрь 2014г. по 0,4'!Q153</f>
        <v>0</v>
      </c>
    </row>
    <row r="157" spans="1:17" ht="12.75" customHeight="1" x14ac:dyDescent="0.2">
      <c r="A157" s="18"/>
      <c r="B157" s="18"/>
      <c r="C157" s="18" t="s">
        <v>346</v>
      </c>
      <c r="D157" s="31">
        <f>'октябрь 2014г. по 6-10'!D157+'октябрь 2014г. по 0,4'!D154</f>
        <v>7</v>
      </c>
      <c r="E157" s="31">
        <f>'октябрь 2014г. по 6-10'!E157+'октябрь 2014г. по 0,4'!E154</f>
        <v>20</v>
      </c>
      <c r="F157" s="31">
        <f>'октябрь 2014г. по 6-10'!F157+'октябрь 2014г. по 0,4'!F154</f>
        <v>0</v>
      </c>
      <c r="G157" s="31">
        <f>'октябрь 2014г. по 6-10'!G157+'октябрь 2014г. по 0,4'!G154</f>
        <v>0</v>
      </c>
      <c r="H157" s="31">
        <f>'октябрь 2014г. по 6-10'!H157+'октябрь 2014г. по 0,4'!H154</f>
        <v>0</v>
      </c>
      <c r="I157" s="31">
        <f>'октябрь 2014г. по 6-10'!I157+'октябрь 2014г. по 0,4'!I154</f>
        <v>0</v>
      </c>
      <c r="J157" s="31">
        <f>'октябрь 2014г. по 6-10'!J157+'октябрь 2014г. по 0,4'!J154</f>
        <v>0</v>
      </c>
      <c r="K157" s="31">
        <f>'октябрь 2014г. по 6-10'!K157+'октябрь 2014г. по 0,4'!K154</f>
        <v>0</v>
      </c>
      <c r="L157" s="31">
        <f>'октябрь 2014г. по 6-10'!L157+'октябрь 2014г. по 0,4'!L154</f>
        <v>0</v>
      </c>
      <c r="M157" s="31">
        <f>'октябрь 2014г. по 6-10'!M157+'октябрь 2014г. по 0,4'!M154</f>
        <v>0</v>
      </c>
      <c r="N157" s="31">
        <f>'октябрь 2014г. по 6-10'!N157+'октябрь 2014г. по 0,4'!N154</f>
        <v>0</v>
      </c>
      <c r="O157" s="31">
        <f>'октябрь 2014г. по 6-10'!O157+'октябрь 2014г. по 0,4'!O154</f>
        <v>0</v>
      </c>
      <c r="P157" s="31">
        <f>'октябрь 2014г. по 6-10'!P157+'октябрь 2014г. по 0,4'!P154</f>
        <v>0</v>
      </c>
      <c r="Q157" s="31">
        <f>'октябрь 2014г. по 6-10'!Q157+'октябрь 2014г. по 0,4'!Q154</f>
        <v>0</v>
      </c>
    </row>
    <row r="158" spans="1:17" ht="12.75" customHeight="1" x14ac:dyDescent="0.2">
      <c r="A158" s="18"/>
      <c r="B158" s="18"/>
      <c r="C158" s="18" t="s">
        <v>226</v>
      </c>
      <c r="D158" s="31">
        <f>'октябрь 2014г. по 6-10'!D158+'октябрь 2014г. по 0,4'!D155</f>
        <v>1</v>
      </c>
      <c r="E158" s="31">
        <f>'октябрь 2014г. по 6-10'!E158+'октябрь 2014г. по 0,4'!E155</f>
        <v>15</v>
      </c>
      <c r="F158" s="31">
        <f>'октябрь 2014г. по 6-10'!F158+'октябрь 2014г. по 0,4'!F155</f>
        <v>1</v>
      </c>
      <c r="G158" s="31">
        <f>'октябрь 2014г. по 6-10'!G158+'октябрь 2014г. по 0,4'!G155</f>
        <v>15</v>
      </c>
      <c r="H158" s="31">
        <f>'октябрь 2014г. по 6-10'!H158+'октябрь 2014г. по 0,4'!H155</f>
        <v>0</v>
      </c>
      <c r="I158" s="31">
        <f>'октябрь 2014г. по 6-10'!I158+'октябрь 2014г. по 0,4'!I155</f>
        <v>0</v>
      </c>
      <c r="J158" s="31">
        <f>'октябрь 2014г. по 6-10'!J158+'октябрь 2014г. по 0,4'!J155</f>
        <v>1</v>
      </c>
      <c r="K158" s="31">
        <f>'октябрь 2014г. по 6-10'!K158+'октябрь 2014г. по 0,4'!K155</f>
        <v>6</v>
      </c>
      <c r="L158" s="31">
        <f>'октябрь 2014г. по 6-10'!L158+'октябрь 2014г. по 0,4'!L155</f>
        <v>0</v>
      </c>
      <c r="M158" s="31">
        <f>'октябрь 2014г. по 6-10'!M158+'октябрь 2014г. по 0,4'!M155</f>
        <v>0</v>
      </c>
      <c r="N158" s="31">
        <f>'октябрь 2014г. по 6-10'!N158+'октябрь 2014г. по 0,4'!N155</f>
        <v>0</v>
      </c>
      <c r="O158" s="31">
        <f>'октябрь 2014г. по 6-10'!O158+'октябрь 2014г. по 0,4'!O155</f>
        <v>0</v>
      </c>
      <c r="P158" s="31">
        <f>'октябрь 2014г. по 6-10'!P158+'октябрь 2014г. по 0,4'!P155</f>
        <v>0</v>
      </c>
      <c r="Q158" s="31">
        <f>'октябрь 2014г. по 6-10'!Q158+'октябрь 2014г. по 0,4'!Q155</f>
        <v>0</v>
      </c>
    </row>
    <row r="159" spans="1:17" ht="12.75" customHeight="1" x14ac:dyDescent="0.2">
      <c r="A159" s="18"/>
      <c r="B159" s="18"/>
      <c r="C159" s="18" t="s">
        <v>227</v>
      </c>
      <c r="D159" s="31">
        <f>'октябрь 2014г. по 6-10'!D159+'октябрь 2014г. по 0,4'!D156</f>
        <v>0</v>
      </c>
      <c r="E159" s="31">
        <f>'октябрь 2014г. по 6-10'!E159+'октябрь 2014г. по 0,4'!E156</f>
        <v>0</v>
      </c>
      <c r="F159" s="31">
        <f>'октябрь 2014г. по 6-10'!F159+'октябрь 2014г. по 0,4'!F156</f>
        <v>0</v>
      </c>
      <c r="G159" s="31">
        <f>'октябрь 2014г. по 6-10'!G159+'октябрь 2014г. по 0,4'!G156</f>
        <v>0</v>
      </c>
      <c r="H159" s="31">
        <f>'октябрь 2014г. по 6-10'!H159+'октябрь 2014г. по 0,4'!H156</f>
        <v>0</v>
      </c>
      <c r="I159" s="31">
        <f>'октябрь 2014г. по 6-10'!I159+'октябрь 2014г. по 0,4'!I156</f>
        <v>0</v>
      </c>
      <c r="J159" s="31">
        <f>'октябрь 2014г. по 6-10'!J159+'октябрь 2014г. по 0,4'!J156</f>
        <v>0</v>
      </c>
      <c r="K159" s="31">
        <f>'октябрь 2014г. по 6-10'!K159+'октябрь 2014г. по 0,4'!K156</f>
        <v>0</v>
      </c>
      <c r="L159" s="31">
        <f>'октябрь 2014г. по 6-10'!L159+'октябрь 2014г. по 0,4'!L156</f>
        <v>0</v>
      </c>
      <c r="M159" s="31">
        <f>'октябрь 2014г. по 6-10'!M159+'октябрь 2014г. по 0,4'!M156</f>
        <v>0</v>
      </c>
      <c r="N159" s="31">
        <f>'октябрь 2014г. по 6-10'!N159+'октябрь 2014г. по 0,4'!N156</f>
        <v>0</v>
      </c>
      <c r="O159" s="31">
        <f>'октябрь 2014г. по 6-10'!O159+'октябрь 2014г. по 0,4'!O156</f>
        <v>0</v>
      </c>
      <c r="P159" s="31">
        <f>'октябрь 2014г. по 6-10'!P159+'октябрь 2014г. по 0,4'!P156</f>
        <v>0</v>
      </c>
      <c r="Q159" s="31">
        <f>'октябрь 2014г. по 6-10'!Q159+'октябрь 2014г. по 0,4'!Q156</f>
        <v>0</v>
      </c>
    </row>
    <row r="160" spans="1:17" ht="12.75" customHeight="1" x14ac:dyDescent="0.2">
      <c r="A160" s="18"/>
      <c r="B160" s="18"/>
      <c r="C160" s="18" t="s">
        <v>228</v>
      </c>
      <c r="D160" s="31">
        <f>'октябрь 2014г. по 6-10'!D160+'октябрь 2014г. по 0,4'!D157</f>
        <v>2</v>
      </c>
      <c r="E160" s="31">
        <f>'октябрь 2014г. по 6-10'!E160+'октябрь 2014г. по 0,4'!E157</f>
        <v>105</v>
      </c>
      <c r="F160" s="31">
        <f>'октябрь 2014г. по 6-10'!F160+'октябрь 2014г. по 0,4'!F157</f>
        <v>2</v>
      </c>
      <c r="G160" s="31">
        <f>'октябрь 2014г. по 6-10'!G160+'октябрь 2014г. по 0,4'!G157</f>
        <v>35</v>
      </c>
      <c r="H160" s="31">
        <f>'октябрь 2014г. по 6-10'!H160+'октябрь 2014г. по 0,4'!H157</f>
        <v>0</v>
      </c>
      <c r="I160" s="31">
        <f>'октябрь 2014г. по 6-10'!I160+'октябрь 2014г. по 0,4'!I157</f>
        <v>0</v>
      </c>
      <c r="J160" s="31">
        <f>'октябрь 2014г. по 6-10'!J160+'октябрь 2014г. по 0,4'!J157</f>
        <v>3</v>
      </c>
      <c r="K160" s="31">
        <f>'октябрь 2014г. по 6-10'!K160+'октябрь 2014г. по 0,4'!K157</f>
        <v>18</v>
      </c>
      <c r="L160" s="31">
        <f>'октябрь 2014г. по 6-10'!L160+'октябрь 2014г. по 0,4'!L157</f>
        <v>0</v>
      </c>
      <c r="M160" s="31">
        <f>'октябрь 2014г. по 6-10'!M160+'октябрь 2014г. по 0,4'!M157</f>
        <v>0</v>
      </c>
      <c r="N160" s="31">
        <f>'октябрь 2014г. по 6-10'!N160+'октябрь 2014г. по 0,4'!N157</f>
        <v>0</v>
      </c>
      <c r="O160" s="31">
        <f>'октябрь 2014г. по 6-10'!O160+'октябрь 2014г. по 0,4'!O157</f>
        <v>0</v>
      </c>
      <c r="P160" s="31">
        <f>'октябрь 2014г. по 6-10'!P160+'октябрь 2014г. по 0,4'!P157</f>
        <v>0</v>
      </c>
      <c r="Q160" s="31">
        <f>'октябрь 2014г. по 6-10'!Q160+'октябрь 2014г. по 0,4'!Q157</f>
        <v>0</v>
      </c>
    </row>
    <row r="161" spans="1:17" ht="12.75" customHeight="1" x14ac:dyDescent="0.2">
      <c r="A161" s="18"/>
      <c r="B161" s="18"/>
      <c r="C161" s="18" t="s">
        <v>229</v>
      </c>
      <c r="D161" s="31">
        <f>'октябрь 2014г. по 6-10'!D161+'октябрь 2014г. по 0,4'!D158</f>
        <v>1</v>
      </c>
      <c r="E161" s="31">
        <f>'октябрь 2014г. по 6-10'!E161+'октябрь 2014г. по 0,4'!E158</f>
        <v>175</v>
      </c>
      <c r="F161" s="31">
        <f>'октябрь 2014г. по 6-10'!F161+'октябрь 2014г. по 0,4'!F158</f>
        <v>1</v>
      </c>
      <c r="G161" s="31">
        <f>'октябрь 2014г. по 6-10'!G161+'октябрь 2014г. по 0,4'!G158</f>
        <v>10</v>
      </c>
      <c r="H161" s="31">
        <f>'октябрь 2014г. по 6-10'!H161+'октябрь 2014г. по 0,4'!H158</f>
        <v>0</v>
      </c>
      <c r="I161" s="31">
        <f>'октябрь 2014г. по 6-10'!I161+'октябрь 2014г. по 0,4'!I158</f>
        <v>0</v>
      </c>
      <c r="J161" s="31">
        <f>'октябрь 2014г. по 6-10'!J161+'октябрь 2014г. по 0,4'!J158</f>
        <v>0</v>
      </c>
      <c r="K161" s="31">
        <f>'октябрь 2014г. по 6-10'!K161+'октябрь 2014г. по 0,4'!K158</f>
        <v>0</v>
      </c>
      <c r="L161" s="31">
        <f>'октябрь 2014г. по 6-10'!L161+'октябрь 2014г. по 0,4'!L158</f>
        <v>0</v>
      </c>
      <c r="M161" s="31">
        <f>'октябрь 2014г. по 6-10'!M161+'октябрь 2014г. по 0,4'!M158</f>
        <v>0</v>
      </c>
      <c r="N161" s="31">
        <f>'октябрь 2014г. по 6-10'!N161+'октябрь 2014г. по 0,4'!N158</f>
        <v>0</v>
      </c>
      <c r="O161" s="31">
        <f>'октябрь 2014г. по 6-10'!O161+'октябрь 2014г. по 0,4'!O158</f>
        <v>0</v>
      </c>
      <c r="P161" s="31">
        <f>'октябрь 2014г. по 6-10'!P161+'октябрь 2014г. по 0,4'!P158</f>
        <v>0</v>
      </c>
      <c r="Q161" s="31">
        <f>'октябрь 2014г. по 6-10'!Q161+'октябрь 2014г. по 0,4'!Q158</f>
        <v>0</v>
      </c>
    </row>
    <row r="162" spans="1:17" ht="12.75" customHeight="1" x14ac:dyDescent="0.2">
      <c r="A162" s="18"/>
      <c r="B162" s="18"/>
      <c r="C162" s="18" t="s">
        <v>230</v>
      </c>
      <c r="D162" s="31">
        <f>'октябрь 2014г. по 6-10'!D162+'октябрь 2014г. по 0,4'!D159</f>
        <v>3</v>
      </c>
      <c r="E162" s="31">
        <f>'октябрь 2014г. по 6-10'!E162+'октябрь 2014г. по 0,4'!E159</f>
        <v>70</v>
      </c>
      <c r="F162" s="31">
        <f>'октябрь 2014г. по 6-10'!F162+'октябрь 2014г. по 0,4'!F159</f>
        <v>1</v>
      </c>
      <c r="G162" s="31">
        <f>'октябрь 2014г. по 6-10'!G162+'октябрь 2014г. по 0,4'!G159</f>
        <v>10</v>
      </c>
      <c r="H162" s="31">
        <f>'октябрь 2014г. по 6-10'!H162+'октябрь 2014г. по 0,4'!H159</f>
        <v>0</v>
      </c>
      <c r="I162" s="31">
        <f>'октябрь 2014г. по 6-10'!I162+'октябрь 2014г. по 0,4'!I159</f>
        <v>0</v>
      </c>
      <c r="J162" s="31">
        <f>'октябрь 2014г. по 6-10'!J162+'октябрь 2014г. по 0,4'!J159</f>
        <v>1</v>
      </c>
      <c r="K162" s="31">
        <f>'октябрь 2014г. по 6-10'!K162+'октябрь 2014г. по 0,4'!K159</f>
        <v>63</v>
      </c>
      <c r="L162" s="31">
        <f>'октябрь 2014г. по 6-10'!L162+'октябрь 2014г. по 0,4'!L159</f>
        <v>0</v>
      </c>
      <c r="M162" s="31">
        <f>'октябрь 2014г. по 6-10'!M162+'октябрь 2014г. по 0,4'!M159</f>
        <v>0</v>
      </c>
      <c r="N162" s="31">
        <f>'октябрь 2014г. по 6-10'!N162+'октябрь 2014г. по 0,4'!N159</f>
        <v>0</v>
      </c>
      <c r="O162" s="31">
        <f>'октябрь 2014г. по 6-10'!O162+'октябрь 2014г. по 0,4'!O159</f>
        <v>0</v>
      </c>
      <c r="P162" s="31">
        <f>'октябрь 2014г. по 6-10'!P162+'октябрь 2014г. по 0,4'!P159</f>
        <v>0</v>
      </c>
      <c r="Q162" s="31">
        <f>'октябрь 2014г. по 6-10'!Q162+'октябрь 2014г. по 0,4'!Q159</f>
        <v>0</v>
      </c>
    </row>
    <row r="163" spans="1:17" ht="12.75" customHeight="1" x14ac:dyDescent="0.2">
      <c r="A163" s="18"/>
      <c r="B163" s="18"/>
      <c r="C163" s="18" t="s">
        <v>231</v>
      </c>
      <c r="D163" s="31">
        <f>'октябрь 2014г. по 6-10'!D163+'октябрь 2014г. по 0,4'!D160</f>
        <v>1</v>
      </c>
      <c r="E163" s="31">
        <f>'октябрь 2014г. по 6-10'!E163+'октябрь 2014г. по 0,4'!E160</f>
        <v>400</v>
      </c>
      <c r="F163" s="31">
        <f>'октябрь 2014г. по 6-10'!F163+'октябрь 2014г. по 0,4'!F160</f>
        <v>0</v>
      </c>
      <c r="G163" s="31">
        <f>'октябрь 2014г. по 6-10'!G163+'октябрь 2014г. по 0,4'!G160</f>
        <v>0</v>
      </c>
      <c r="H163" s="31">
        <f>'октябрь 2014г. по 6-10'!H163+'октябрь 2014г. по 0,4'!H160</f>
        <v>0</v>
      </c>
      <c r="I163" s="31">
        <f>'октябрь 2014г. по 6-10'!I163+'октябрь 2014г. по 0,4'!I160</f>
        <v>0</v>
      </c>
      <c r="J163" s="31">
        <f>'октябрь 2014г. по 6-10'!J163+'октябрь 2014г. по 0,4'!J160</f>
        <v>0</v>
      </c>
      <c r="K163" s="31">
        <f>'октябрь 2014г. по 6-10'!K163+'октябрь 2014г. по 0,4'!K160</f>
        <v>0</v>
      </c>
      <c r="L163" s="31">
        <f>'октябрь 2014г. по 6-10'!L163+'октябрь 2014г. по 0,4'!L160</f>
        <v>0</v>
      </c>
      <c r="M163" s="31">
        <f>'октябрь 2014г. по 6-10'!M163+'октябрь 2014г. по 0,4'!M160</f>
        <v>0</v>
      </c>
      <c r="N163" s="31">
        <f>'октябрь 2014г. по 6-10'!N163+'октябрь 2014г. по 0,4'!N160</f>
        <v>0</v>
      </c>
      <c r="O163" s="31">
        <f>'октябрь 2014г. по 6-10'!O163+'октябрь 2014г. по 0,4'!O160</f>
        <v>0</v>
      </c>
      <c r="P163" s="31">
        <f>'октябрь 2014г. по 6-10'!P163+'октябрь 2014г. по 0,4'!P160</f>
        <v>0</v>
      </c>
      <c r="Q163" s="31">
        <f>'октябрь 2014г. по 6-10'!Q163+'октябрь 2014г. по 0,4'!Q160</f>
        <v>0</v>
      </c>
    </row>
    <row r="164" spans="1:17" ht="12.75" customHeight="1" x14ac:dyDescent="0.2">
      <c r="A164" s="18"/>
      <c r="B164" s="18"/>
      <c r="C164" s="18" t="s">
        <v>232</v>
      </c>
      <c r="D164" s="31">
        <f>'октябрь 2014г. по 6-10'!D164+'октябрь 2014г. по 0,4'!D161</f>
        <v>6</v>
      </c>
      <c r="E164" s="31">
        <f>'октябрь 2014г. по 6-10'!E164+'октябрь 2014г. по 0,4'!E161</f>
        <v>94</v>
      </c>
      <c r="F164" s="31">
        <f>'октябрь 2014г. по 6-10'!F164+'октябрь 2014г. по 0,4'!F161</f>
        <v>1</v>
      </c>
      <c r="G164" s="31">
        <f>'октябрь 2014г. по 6-10'!G164+'октябрь 2014г. по 0,4'!G161</f>
        <v>10</v>
      </c>
      <c r="H164" s="31">
        <f>'октябрь 2014г. по 6-10'!H164+'октябрь 2014г. по 0,4'!H161</f>
        <v>0</v>
      </c>
      <c r="I164" s="31">
        <f>'октябрь 2014г. по 6-10'!I164+'октябрь 2014г. по 0,4'!I161</f>
        <v>0</v>
      </c>
      <c r="J164" s="31">
        <f>'октябрь 2014г. по 6-10'!J164+'октябрь 2014г. по 0,4'!J161</f>
        <v>6</v>
      </c>
      <c r="K164" s="31">
        <f>'октябрь 2014г. по 6-10'!K164+'октябрь 2014г. по 0,4'!K161</f>
        <v>36</v>
      </c>
      <c r="L164" s="31">
        <f>'октябрь 2014г. по 6-10'!L164+'октябрь 2014г. по 0,4'!L161</f>
        <v>0</v>
      </c>
      <c r="M164" s="31">
        <f>'октябрь 2014г. по 6-10'!M164+'октябрь 2014г. по 0,4'!M161</f>
        <v>0</v>
      </c>
      <c r="N164" s="31">
        <f>'октябрь 2014г. по 6-10'!N164+'октябрь 2014г. по 0,4'!N161</f>
        <v>0</v>
      </c>
      <c r="O164" s="31">
        <f>'октябрь 2014г. по 6-10'!O164+'октябрь 2014г. по 0,4'!O161</f>
        <v>0</v>
      </c>
      <c r="P164" s="31">
        <f>'октябрь 2014г. по 6-10'!P164+'октябрь 2014г. по 0,4'!P161</f>
        <v>0</v>
      </c>
      <c r="Q164" s="31">
        <f>'октябрь 2014г. по 6-10'!Q164+'октябрь 2014г. по 0,4'!Q161</f>
        <v>0</v>
      </c>
    </row>
    <row r="165" spans="1:17" ht="12.75" customHeight="1" x14ac:dyDescent="0.2">
      <c r="A165" s="18"/>
      <c r="B165" s="18"/>
      <c r="C165" s="18" t="s">
        <v>233</v>
      </c>
      <c r="D165" s="31">
        <f>'октябрь 2014г. по 6-10'!D165+'октябрь 2014г. по 0,4'!D162</f>
        <v>0</v>
      </c>
      <c r="E165" s="31">
        <f>'октябрь 2014г. по 6-10'!E165+'октябрь 2014г. по 0,4'!E162</f>
        <v>0</v>
      </c>
      <c r="F165" s="31">
        <f>'октябрь 2014г. по 6-10'!F165+'октябрь 2014г. по 0,4'!F162</f>
        <v>0</v>
      </c>
      <c r="G165" s="31">
        <f>'октябрь 2014г. по 6-10'!G165+'октябрь 2014г. по 0,4'!G162</f>
        <v>0</v>
      </c>
      <c r="H165" s="31">
        <f>'октябрь 2014г. по 6-10'!H165+'октябрь 2014г. по 0,4'!H162</f>
        <v>0</v>
      </c>
      <c r="I165" s="31">
        <f>'октябрь 2014г. по 6-10'!I165+'октябрь 2014г. по 0,4'!I162</f>
        <v>0</v>
      </c>
      <c r="J165" s="31">
        <f>'октябрь 2014г. по 6-10'!J165+'октябрь 2014г. по 0,4'!J162</f>
        <v>0</v>
      </c>
      <c r="K165" s="31">
        <f>'октябрь 2014г. по 6-10'!K165+'октябрь 2014г. по 0,4'!K162</f>
        <v>0</v>
      </c>
      <c r="L165" s="31">
        <f>'октябрь 2014г. по 6-10'!L165+'октябрь 2014г. по 0,4'!L162</f>
        <v>0</v>
      </c>
      <c r="M165" s="31">
        <f>'октябрь 2014г. по 6-10'!M165+'октябрь 2014г. по 0,4'!M162</f>
        <v>0</v>
      </c>
      <c r="N165" s="31">
        <f>'октябрь 2014г. по 6-10'!N165+'октябрь 2014г. по 0,4'!N162</f>
        <v>0</v>
      </c>
      <c r="O165" s="31">
        <f>'октябрь 2014г. по 6-10'!O165+'октябрь 2014г. по 0,4'!O162</f>
        <v>0</v>
      </c>
      <c r="P165" s="31">
        <f>'октябрь 2014г. по 6-10'!P165+'октябрь 2014г. по 0,4'!P162</f>
        <v>0</v>
      </c>
      <c r="Q165" s="31">
        <f>'октябрь 2014г. по 6-10'!Q165+'октябрь 2014г. по 0,4'!Q162</f>
        <v>0</v>
      </c>
    </row>
    <row r="166" spans="1:17" ht="12.75" customHeight="1" x14ac:dyDescent="0.2">
      <c r="A166" s="18"/>
      <c r="B166" s="18"/>
      <c r="C166" s="18" t="s">
        <v>234</v>
      </c>
      <c r="D166" s="31">
        <f>'октябрь 2014г. по 6-10'!D166+'октябрь 2014г. по 0,4'!D163</f>
        <v>1</v>
      </c>
      <c r="E166" s="31">
        <f>'октябрь 2014г. по 6-10'!E166+'октябрь 2014г. по 0,4'!E163</f>
        <v>5</v>
      </c>
      <c r="F166" s="31">
        <f>'октябрь 2014г. по 6-10'!F166+'октябрь 2014г. по 0,4'!F163</f>
        <v>1</v>
      </c>
      <c r="G166" s="31">
        <f>'октябрь 2014г. по 6-10'!G166+'октябрь 2014г. по 0,4'!G163</f>
        <v>5</v>
      </c>
      <c r="H166" s="31">
        <f>'октябрь 2014г. по 6-10'!H166+'октябрь 2014г. по 0,4'!H163</f>
        <v>0</v>
      </c>
      <c r="I166" s="31">
        <f>'октябрь 2014г. по 6-10'!I166+'октябрь 2014г. по 0,4'!I163</f>
        <v>0</v>
      </c>
      <c r="J166" s="31">
        <f>'октябрь 2014г. по 6-10'!J166+'октябрь 2014г. по 0,4'!J163</f>
        <v>8</v>
      </c>
      <c r="K166" s="31">
        <f>'октябрь 2014г. по 6-10'!K166+'октябрь 2014г. по 0,4'!K163</f>
        <v>48</v>
      </c>
      <c r="L166" s="31">
        <f>'октябрь 2014г. по 6-10'!L166+'октябрь 2014г. по 0,4'!L163</f>
        <v>0</v>
      </c>
      <c r="M166" s="31">
        <f>'октябрь 2014г. по 6-10'!M166+'октябрь 2014г. по 0,4'!M163</f>
        <v>0</v>
      </c>
      <c r="N166" s="31">
        <f>'октябрь 2014г. по 6-10'!N166+'октябрь 2014г. по 0,4'!N163</f>
        <v>0</v>
      </c>
      <c r="O166" s="31">
        <f>'октябрь 2014г. по 6-10'!O166+'октябрь 2014г. по 0,4'!O163</f>
        <v>0</v>
      </c>
      <c r="P166" s="31">
        <f>'октябрь 2014г. по 6-10'!P166+'октябрь 2014г. по 0,4'!P163</f>
        <v>0</v>
      </c>
      <c r="Q166" s="31">
        <f>'октябрь 2014г. по 6-10'!Q166+'октябрь 2014г. по 0,4'!Q163</f>
        <v>0</v>
      </c>
    </row>
    <row r="167" spans="1:17" ht="12.75" customHeight="1" x14ac:dyDescent="0.2">
      <c r="A167" s="18"/>
      <c r="B167" s="18"/>
      <c r="C167" s="18" t="s">
        <v>235</v>
      </c>
      <c r="D167" s="31">
        <f>'октябрь 2014г. по 6-10'!D167+'октябрь 2014г. по 0,4'!D164</f>
        <v>3</v>
      </c>
      <c r="E167" s="31">
        <f>'октябрь 2014г. по 6-10'!E167+'октябрь 2014г. по 0,4'!E164</f>
        <v>131</v>
      </c>
      <c r="F167" s="31">
        <f>'октябрь 2014г. по 6-10'!F167+'октябрь 2014г. по 0,4'!F164</f>
        <v>3</v>
      </c>
      <c r="G167" s="31">
        <f>'октябрь 2014г. по 6-10'!G167+'октябрь 2014г. по 0,4'!G164</f>
        <v>56</v>
      </c>
      <c r="H167" s="31">
        <f>'октябрь 2014г. по 6-10'!H167+'октябрь 2014г. по 0,4'!H164</f>
        <v>0</v>
      </c>
      <c r="I167" s="31">
        <f>'октябрь 2014г. по 6-10'!I167+'октябрь 2014г. по 0,4'!I164</f>
        <v>0</v>
      </c>
      <c r="J167" s="31">
        <f>'октябрь 2014г. по 6-10'!J167+'октябрь 2014г. по 0,4'!J164</f>
        <v>0</v>
      </c>
      <c r="K167" s="31">
        <f>'октябрь 2014г. по 6-10'!K167+'октябрь 2014г. по 0,4'!K164</f>
        <v>0</v>
      </c>
      <c r="L167" s="31">
        <f>'октябрь 2014г. по 6-10'!L167+'октябрь 2014г. по 0,4'!L164</f>
        <v>0</v>
      </c>
      <c r="M167" s="31">
        <f>'октябрь 2014г. по 6-10'!M167+'октябрь 2014г. по 0,4'!M164</f>
        <v>0</v>
      </c>
      <c r="N167" s="31">
        <f>'октябрь 2014г. по 6-10'!N167+'октябрь 2014г. по 0,4'!N164</f>
        <v>0</v>
      </c>
      <c r="O167" s="31">
        <f>'октябрь 2014г. по 6-10'!O167+'октябрь 2014г. по 0,4'!O164</f>
        <v>0</v>
      </c>
      <c r="P167" s="31">
        <f>'октябрь 2014г. по 6-10'!P167+'октябрь 2014г. по 0,4'!P164</f>
        <v>0</v>
      </c>
      <c r="Q167" s="31">
        <f>'октябрь 2014г. по 6-10'!Q167+'октябрь 2014г. по 0,4'!Q164</f>
        <v>0</v>
      </c>
    </row>
    <row r="168" spans="1:17" ht="12.75" customHeight="1" x14ac:dyDescent="0.2">
      <c r="A168" s="18"/>
      <c r="B168" s="18"/>
      <c r="C168" s="18" t="s">
        <v>347</v>
      </c>
      <c r="D168" s="31">
        <f>'октябрь 2014г. по 6-10'!D168+'октябрь 2014г. по 0,4'!D165</f>
        <v>1</v>
      </c>
      <c r="E168" s="31">
        <f>'октябрь 2014г. по 6-10'!E168+'октябрь 2014г. по 0,4'!E165</f>
        <v>40</v>
      </c>
      <c r="F168" s="31">
        <f>'октябрь 2014г. по 6-10'!F168+'октябрь 2014г. по 0,4'!F165</f>
        <v>1</v>
      </c>
      <c r="G168" s="31">
        <f>'октябрь 2014г. по 6-10'!G168+'октябрь 2014г. по 0,4'!G165</f>
        <v>40</v>
      </c>
      <c r="H168" s="31">
        <f>'октябрь 2014г. по 6-10'!H168+'октябрь 2014г. по 0,4'!H165</f>
        <v>0</v>
      </c>
      <c r="I168" s="31">
        <f>'октябрь 2014г. по 6-10'!I168+'октябрь 2014г. по 0,4'!I165</f>
        <v>0</v>
      </c>
      <c r="J168" s="31">
        <f>'октябрь 2014г. по 6-10'!J168+'октябрь 2014г. по 0,4'!J165</f>
        <v>0</v>
      </c>
      <c r="K168" s="31">
        <f>'октябрь 2014г. по 6-10'!K168+'октябрь 2014г. по 0,4'!K165</f>
        <v>0</v>
      </c>
      <c r="L168" s="31">
        <f>'октябрь 2014г. по 6-10'!L168+'октябрь 2014г. по 0,4'!L165</f>
        <v>0</v>
      </c>
      <c r="M168" s="31">
        <f>'октябрь 2014г. по 6-10'!M168+'октябрь 2014г. по 0,4'!M165</f>
        <v>0</v>
      </c>
      <c r="N168" s="31">
        <f>'октябрь 2014г. по 6-10'!N168+'октябрь 2014г. по 0,4'!N165</f>
        <v>0</v>
      </c>
      <c r="O168" s="31">
        <f>'октябрь 2014г. по 6-10'!O168+'октябрь 2014г. по 0,4'!O165</f>
        <v>0</v>
      </c>
      <c r="P168" s="31">
        <f>'октябрь 2014г. по 6-10'!P168+'октябрь 2014г. по 0,4'!P165</f>
        <v>0</v>
      </c>
      <c r="Q168" s="31">
        <f>'октябрь 2014г. по 6-10'!Q168+'октябрь 2014г. по 0,4'!Q165</f>
        <v>0</v>
      </c>
    </row>
    <row r="169" spans="1:17" ht="12.75" customHeight="1" x14ac:dyDescent="0.2">
      <c r="A169" s="18"/>
      <c r="B169" s="18"/>
      <c r="C169" s="18" t="s">
        <v>236</v>
      </c>
      <c r="D169" s="31">
        <f>'октябрь 2014г. по 6-10'!D169+'октябрь 2014г. по 0,4'!D166</f>
        <v>16</v>
      </c>
      <c r="E169" s="31">
        <f>'октябрь 2014г. по 6-10'!E169+'октябрь 2014г. по 0,4'!E166</f>
        <v>260</v>
      </c>
      <c r="F169" s="31">
        <f>'октябрь 2014г. по 6-10'!F169+'октябрь 2014г. по 0,4'!F166</f>
        <v>8</v>
      </c>
      <c r="G169" s="31">
        <f>'октябрь 2014г. по 6-10'!G169+'октябрь 2014г. по 0,4'!G166</f>
        <v>70</v>
      </c>
      <c r="H169" s="31">
        <f>'октябрь 2014г. по 6-10'!H169+'октябрь 2014г. по 0,4'!H166</f>
        <v>0</v>
      </c>
      <c r="I169" s="31">
        <f>'октябрь 2014г. по 6-10'!I169+'октябрь 2014г. по 0,4'!I166</f>
        <v>0</v>
      </c>
      <c r="J169" s="31">
        <f>'октябрь 2014г. по 6-10'!J169+'октябрь 2014г. по 0,4'!J166</f>
        <v>15</v>
      </c>
      <c r="K169" s="31">
        <f>'октябрь 2014г. по 6-10'!K169+'октябрь 2014г. по 0,4'!K166</f>
        <v>49</v>
      </c>
      <c r="L169" s="31">
        <f>'октябрь 2014г. по 6-10'!L169+'октябрь 2014г. по 0,4'!L166</f>
        <v>0</v>
      </c>
      <c r="M169" s="31">
        <f>'октябрь 2014г. по 6-10'!M169+'октябрь 2014г. по 0,4'!M166</f>
        <v>0</v>
      </c>
      <c r="N169" s="31">
        <f>'октябрь 2014г. по 6-10'!N169+'октябрь 2014г. по 0,4'!N166</f>
        <v>0</v>
      </c>
      <c r="O169" s="31">
        <f>'октябрь 2014г. по 6-10'!O169+'октябрь 2014г. по 0,4'!O166</f>
        <v>0</v>
      </c>
      <c r="P169" s="31">
        <f>'октябрь 2014г. по 6-10'!P169+'октябрь 2014г. по 0,4'!P166</f>
        <v>0</v>
      </c>
      <c r="Q169" s="31">
        <f>'октябрь 2014г. по 6-10'!Q169+'октябрь 2014г. по 0,4'!Q166</f>
        <v>0</v>
      </c>
    </row>
    <row r="170" spans="1:17" ht="12.75" customHeight="1" x14ac:dyDescent="0.2">
      <c r="A170" s="18"/>
      <c r="B170" s="18"/>
      <c r="C170" s="18" t="s">
        <v>237</v>
      </c>
      <c r="D170" s="31">
        <f>'октябрь 2014г. по 6-10'!D170+'октябрь 2014г. по 0,4'!D167</f>
        <v>6</v>
      </c>
      <c r="E170" s="31">
        <f>'октябрь 2014г. по 6-10'!E170+'октябрь 2014г. по 0,4'!E167</f>
        <v>214</v>
      </c>
      <c r="F170" s="31">
        <f>'октябрь 2014г. по 6-10'!F170+'октябрь 2014г. по 0,4'!F167</f>
        <v>4</v>
      </c>
      <c r="G170" s="31">
        <f>'октябрь 2014г. по 6-10'!G170+'октябрь 2014г. по 0,4'!G167</f>
        <v>34</v>
      </c>
      <c r="H170" s="31">
        <f>'октябрь 2014г. по 6-10'!H170+'октябрь 2014г. по 0,4'!H167</f>
        <v>0</v>
      </c>
      <c r="I170" s="31">
        <f>'октябрь 2014г. по 6-10'!I170+'октябрь 2014г. по 0,4'!I167</f>
        <v>0</v>
      </c>
      <c r="J170" s="31">
        <f>'октябрь 2014г. по 6-10'!J170+'октябрь 2014г. по 0,4'!J167</f>
        <v>6</v>
      </c>
      <c r="K170" s="31">
        <f>'октябрь 2014г. по 6-10'!K170+'октябрь 2014г. по 0,4'!K167</f>
        <v>46</v>
      </c>
      <c r="L170" s="31">
        <f>'октябрь 2014г. по 6-10'!L170+'октябрь 2014г. по 0,4'!L167</f>
        <v>0</v>
      </c>
      <c r="M170" s="31">
        <f>'октябрь 2014г. по 6-10'!M170+'октябрь 2014г. по 0,4'!M167</f>
        <v>0</v>
      </c>
      <c r="N170" s="31">
        <f>'октябрь 2014г. по 6-10'!N170+'октябрь 2014г. по 0,4'!N167</f>
        <v>0</v>
      </c>
      <c r="O170" s="31">
        <f>'октябрь 2014г. по 6-10'!O170+'октябрь 2014г. по 0,4'!O167</f>
        <v>0</v>
      </c>
      <c r="P170" s="31">
        <f>'октябрь 2014г. по 6-10'!P170+'октябрь 2014г. по 0,4'!P167</f>
        <v>0</v>
      </c>
      <c r="Q170" s="31">
        <f>'октябрь 2014г. по 6-10'!Q170+'октябрь 2014г. по 0,4'!Q167</f>
        <v>0</v>
      </c>
    </row>
    <row r="171" spans="1:17" ht="12.75" customHeight="1" x14ac:dyDescent="0.2">
      <c r="A171" s="18"/>
      <c r="B171" s="18"/>
      <c r="C171" s="18" t="s">
        <v>238</v>
      </c>
      <c r="D171" s="31">
        <f>'октябрь 2014г. по 6-10'!D171+'октябрь 2014г. по 0,4'!D168</f>
        <v>7</v>
      </c>
      <c r="E171" s="31">
        <f>'октябрь 2014г. по 6-10'!E171+'октябрь 2014г. по 0,4'!E168</f>
        <v>264</v>
      </c>
      <c r="F171" s="31">
        <f>'октябрь 2014г. по 6-10'!F171+'октябрь 2014г. по 0,4'!F168</f>
        <v>2</v>
      </c>
      <c r="G171" s="31">
        <f>'октябрь 2014г. по 6-10'!G171+'октябрь 2014г. по 0,4'!G168</f>
        <v>20</v>
      </c>
      <c r="H171" s="31">
        <f>'октябрь 2014г. по 6-10'!H171+'октябрь 2014г. по 0,4'!H168</f>
        <v>0</v>
      </c>
      <c r="I171" s="31">
        <f>'октябрь 2014г. по 6-10'!I171+'октябрь 2014г. по 0,4'!I168</f>
        <v>0</v>
      </c>
      <c r="J171" s="31">
        <f>'октябрь 2014г. по 6-10'!J171+'октябрь 2014г. по 0,4'!J168</f>
        <v>0</v>
      </c>
      <c r="K171" s="31">
        <f>'октябрь 2014г. по 6-10'!K171+'октябрь 2014г. по 0,4'!K168</f>
        <v>0</v>
      </c>
      <c r="L171" s="31">
        <f>'октябрь 2014г. по 6-10'!L171+'октябрь 2014г. по 0,4'!L168</f>
        <v>0</v>
      </c>
      <c r="M171" s="31">
        <f>'октябрь 2014г. по 6-10'!M171+'октябрь 2014г. по 0,4'!M168</f>
        <v>0</v>
      </c>
      <c r="N171" s="31">
        <f>'октябрь 2014г. по 6-10'!N171+'октябрь 2014г. по 0,4'!N168</f>
        <v>0</v>
      </c>
      <c r="O171" s="31">
        <f>'октябрь 2014г. по 6-10'!O171+'октябрь 2014г. по 0,4'!O168</f>
        <v>0</v>
      </c>
      <c r="P171" s="31">
        <f>'октябрь 2014г. по 6-10'!P171+'октябрь 2014г. по 0,4'!P168</f>
        <v>0</v>
      </c>
      <c r="Q171" s="31">
        <f>'октябрь 2014г. по 6-10'!Q171+'октябрь 2014г. по 0,4'!Q168</f>
        <v>0</v>
      </c>
    </row>
    <row r="172" spans="1:17" ht="12.75" customHeight="1" x14ac:dyDescent="0.2">
      <c r="A172" s="18"/>
      <c r="B172" s="18"/>
      <c r="C172" s="18" t="s">
        <v>239</v>
      </c>
      <c r="D172" s="31">
        <f>'октябрь 2014г. по 6-10'!D172+'октябрь 2014г. по 0,4'!D169</f>
        <v>2</v>
      </c>
      <c r="E172" s="31">
        <f>'октябрь 2014г. по 6-10'!E172+'октябрь 2014г. по 0,4'!E169</f>
        <v>16</v>
      </c>
      <c r="F172" s="31">
        <f>'октябрь 2014г. по 6-10'!F172+'октябрь 2014г. по 0,4'!F169</f>
        <v>2</v>
      </c>
      <c r="G172" s="31">
        <f>'октябрь 2014г. по 6-10'!G172+'октябрь 2014г. по 0,4'!G169</f>
        <v>16</v>
      </c>
      <c r="H172" s="31">
        <f>'октябрь 2014г. по 6-10'!H172+'октябрь 2014г. по 0,4'!H169</f>
        <v>0</v>
      </c>
      <c r="I172" s="31">
        <f>'октябрь 2014г. по 6-10'!I172+'октябрь 2014г. по 0,4'!I169</f>
        <v>0</v>
      </c>
      <c r="J172" s="31">
        <f>'октябрь 2014г. по 6-10'!J172+'октябрь 2014г. по 0,4'!J169</f>
        <v>0</v>
      </c>
      <c r="K172" s="31">
        <f>'октябрь 2014г. по 6-10'!K172+'октябрь 2014г. по 0,4'!K169</f>
        <v>0</v>
      </c>
      <c r="L172" s="31">
        <f>'октябрь 2014г. по 6-10'!L172+'октябрь 2014г. по 0,4'!L169</f>
        <v>0</v>
      </c>
      <c r="M172" s="31">
        <f>'октябрь 2014г. по 6-10'!M172+'октябрь 2014г. по 0,4'!M169</f>
        <v>0</v>
      </c>
      <c r="N172" s="31">
        <f>'октябрь 2014г. по 6-10'!N172+'октябрь 2014г. по 0,4'!N169</f>
        <v>0</v>
      </c>
      <c r="O172" s="31">
        <f>'октябрь 2014г. по 6-10'!O172+'октябрь 2014г. по 0,4'!O169</f>
        <v>0</v>
      </c>
      <c r="P172" s="31">
        <f>'октябрь 2014г. по 6-10'!P172+'октябрь 2014г. по 0,4'!P169</f>
        <v>0</v>
      </c>
      <c r="Q172" s="31">
        <f>'октябрь 2014г. по 6-10'!Q172+'октябрь 2014г. по 0,4'!Q169</f>
        <v>0</v>
      </c>
    </row>
    <row r="173" spans="1:17" ht="12.75" customHeight="1" x14ac:dyDescent="0.2">
      <c r="A173" s="18"/>
      <c r="B173" s="18"/>
      <c r="C173" s="18" t="s">
        <v>240</v>
      </c>
      <c r="D173" s="31">
        <f>'октябрь 2014г. по 6-10'!D173+'октябрь 2014г. по 0,4'!D170</f>
        <v>2</v>
      </c>
      <c r="E173" s="31">
        <f>'октябрь 2014г. по 6-10'!E173+'октябрь 2014г. по 0,4'!E170</f>
        <v>135</v>
      </c>
      <c r="F173" s="31">
        <f>'октябрь 2014г. по 6-10'!F173+'октябрь 2014г. по 0,4'!F170</f>
        <v>2</v>
      </c>
      <c r="G173" s="31">
        <f>'октябрь 2014г. по 6-10'!G173+'октябрь 2014г. по 0,4'!G170</f>
        <v>35</v>
      </c>
      <c r="H173" s="31">
        <f>'октябрь 2014г. по 6-10'!H173+'октябрь 2014г. по 0,4'!H170</f>
        <v>0</v>
      </c>
      <c r="I173" s="31">
        <f>'октябрь 2014г. по 6-10'!I173+'октябрь 2014г. по 0,4'!I170</f>
        <v>0</v>
      </c>
      <c r="J173" s="31">
        <f>'октябрь 2014г. по 6-10'!J173+'октябрь 2014г. по 0,4'!J170</f>
        <v>0</v>
      </c>
      <c r="K173" s="31">
        <f>'октябрь 2014г. по 6-10'!K173+'октябрь 2014г. по 0,4'!K170</f>
        <v>0</v>
      </c>
      <c r="L173" s="31">
        <f>'октябрь 2014г. по 6-10'!L173+'октябрь 2014г. по 0,4'!L170</f>
        <v>0</v>
      </c>
      <c r="M173" s="31">
        <f>'октябрь 2014г. по 6-10'!M173+'октябрь 2014г. по 0,4'!M170</f>
        <v>0</v>
      </c>
      <c r="N173" s="31">
        <f>'октябрь 2014г. по 6-10'!N173+'октябрь 2014г. по 0,4'!N170</f>
        <v>0</v>
      </c>
      <c r="O173" s="31">
        <f>'октябрь 2014г. по 6-10'!O173+'октябрь 2014г. по 0,4'!O170</f>
        <v>0</v>
      </c>
      <c r="P173" s="31">
        <f>'октябрь 2014г. по 6-10'!P173+'октябрь 2014г. по 0,4'!P170</f>
        <v>0</v>
      </c>
      <c r="Q173" s="31">
        <f>'октябрь 2014г. по 6-10'!Q173+'октябрь 2014г. по 0,4'!Q170</f>
        <v>0</v>
      </c>
    </row>
    <row r="174" spans="1:17" ht="12.75" customHeight="1" x14ac:dyDescent="0.2">
      <c r="A174" s="18"/>
      <c r="B174" s="18"/>
      <c r="C174" s="18" t="s">
        <v>241</v>
      </c>
      <c r="D174" s="31">
        <f>'октябрь 2014г. по 6-10'!D174+'октябрь 2014г. по 0,4'!D171</f>
        <v>10</v>
      </c>
      <c r="E174" s="31">
        <f>'октябрь 2014г. по 6-10'!E174+'октябрь 2014г. по 0,4'!E171</f>
        <v>54</v>
      </c>
      <c r="F174" s="31">
        <f>'октябрь 2014г. по 6-10'!F174+'октябрь 2014г. по 0,4'!F171</f>
        <v>10</v>
      </c>
      <c r="G174" s="31">
        <f>'октябрь 2014г. по 6-10'!G174+'октябрь 2014г. по 0,4'!G171</f>
        <v>54</v>
      </c>
      <c r="H174" s="31">
        <f>'октябрь 2014г. по 6-10'!H174+'октябрь 2014г. по 0,4'!H171</f>
        <v>0</v>
      </c>
      <c r="I174" s="31">
        <f>'октябрь 2014г. по 6-10'!I174+'октябрь 2014г. по 0,4'!I171</f>
        <v>0</v>
      </c>
      <c r="J174" s="31">
        <f>'октябрь 2014г. по 6-10'!J174+'октябрь 2014г. по 0,4'!J171</f>
        <v>31</v>
      </c>
      <c r="K174" s="31">
        <f>'октябрь 2014г. по 6-10'!K174+'октябрь 2014г. по 0,4'!K171</f>
        <v>99</v>
      </c>
      <c r="L174" s="31">
        <f>'октябрь 2014г. по 6-10'!L174+'октябрь 2014г. по 0,4'!L171</f>
        <v>0</v>
      </c>
      <c r="M174" s="31">
        <f>'октябрь 2014г. по 6-10'!M174+'октябрь 2014г. по 0,4'!M171</f>
        <v>0</v>
      </c>
      <c r="N174" s="31">
        <f>'октябрь 2014г. по 6-10'!N174+'октябрь 2014г. по 0,4'!N171</f>
        <v>0</v>
      </c>
      <c r="O174" s="31">
        <f>'октябрь 2014г. по 6-10'!O174+'октябрь 2014г. по 0,4'!O171</f>
        <v>0</v>
      </c>
      <c r="P174" s="31">
        <f>'октябрь 2014г. по 6-10'!P174+'октябрь 2014г. по 0,4'!P171</f>
        <v>0</v>
      </c>
      <c r="Q174" s="31">
        <f>'октябрь 2014г. по 6-10'!Q174+'октябрь 2014г. по 0,4'!Q171</f>
        <v>0</v>
      </c>
    </row>
    <row r="175" spans="1:17" ht="12.75" customHeight="1" x14ac:dyDescent="0.2">
      <c r="A175" s="18"/>
      <c r="B175" s="18"/>
      <c r="C175" s="18" t="s">
        <v>242</v>
      </c>
      <c r="D175" s="31">
        <f>'октябрь 2014г. по 6-10'!D175+'октябрь 2014г. по 0,4'!D172</f>
        <v>0</v>
      </c>
      <c r="E175" s="31">
        <f>'октябрь 2014г. по 6-10'!E175+'октябрь 2014г. по 0,4'!E172</f>
        <v>0</v>
      </c>
      <c r="F175" s="31">
        <f>'октябрь 2014г. по 6-10'!F175+'октябрь 2014г. по 0,4'!F172</f>
        <v>0</v>
      </c>
      <c r="G175" s="31">
        <f>'октябрь 2014г. по 6-10'!G175+'октябрь 2014г. по 0,4'!G172</f>
        <v>0</v>
      </c>
      <c r="H175" s="31">
        <f>'октябрь 2014г. по 6-10'!H175+'октябрь 2014г. по 0,4'!H172</f>
        <v>0</v>
      </c>
      <c r="I175" s="31">
        <f>'октябрь 2014г. по 6-10'!I175+'октябрь 2014г. по 0,4'!I172</f>
        <v>0</v>
      </c>
      <c r="J175" s="31">
        <f>'октябрь 2014г. по 6-10'!J175+'октябрь 2014г. по 0,4'!J172</f>
        <v>0</v>
      </c>
      <c r="K175" s="31">
        <f>'октябрь 2014г. по 6-10'!K175+'октябрь 2014г. по 0,4'!K172</f>
        <v>0</v>
      </c>
      <c r="L175" s="31">
        <f>'октябрь 2014г. по 6-10'!L175+'октябрь 2014г. по 0,4'!L172</f>
        <v>0</v>
      </c>
      <c r="M175" s="31">
        <f>'октябрь 2014г. по 6-10'!M175+'октябрь 2014г. по 0,4'!M172</f>
        <v>0</v>
      </c>
      <c r="N175" s="31">
        <f>'октябрь 2014г. по 6-10'!N175+'октябрь 2014г. по 0,4'!N172</f>
        <v>0</v>
      </c>
      <c r="O175" s="31">
        <f>'октябрь 2014г. по 6-10'!O175+'октябрь 2014г. по 0,4'!O172</f>
        <v>0</v>
      </c>
      <c r="P175" s="31">
        <f>'октябрь 2014г. по 6-10'!P175+'октябрь 2014г. по 0,4'!P172</f>
        <v>0</v>
      </c>
      <c r="Q175" s="31">
        <f>'октябрь 2014г. по 6-10'!Q175+'октябрь 2014г. по 0,4'!Q172</f>
        <v>0</v>
      </c>
    </row>
    <row r="176" spans="1:17" ht="12.75" customHeight="1" x14ac:dyDescent="0.2">
      <c r="A176" s="18"/>
      <c r="B176" s="18"/>
      <c r="C176" s="18" t="s">
        <v>348</v>
      </c>
      <c r="D176" s="31">
        <f>'октябрь 2014г. по 6-10'!D176+'октябрь 2014г. по 0,4'!D173</f>
        <v>5</v>
      </c>
      <c r="E176" s="31">
        <f>'октябрь 2014г. по 6-10'!E176+'октябрь 2014г. по 0,4'!E173</f>
        <v>20</v>
      </c>
      <c r="F176" s="31">
        <f>'октябрь 2014г. по 6-10'!F176+'октябрь 2014г. по 0,4'!F173</f>
        <v>0</v>
      </c>
      <c r="G176" s="31">
        <f>'октябрь 2014г. по 6-10'!G176+'октябрь 2014г. по 0,4'!G173</f>
        <v>0</v>
      </c>
      <c r="H176" s="31">
        <f>'октябрь 2014г. по 6-10'!H176+'октябрь 2014г. по 0,4'!H173</f>
        <v>0</v>
      </c>
      <c r="I176" s="31">
        <f>'октябрь 2014г. по 6-10'!I176+'октябрь 2014г. по 0,4'!I173</f>
        <v>0</v>
      </c>
      <c r="J176" s="31">
        <f>'октябрь 2014г. по 6-10'!J176+'октябрь 2014г. по 0,4'!J173</f>
        <v>0</v>
      </c>
      <c r="K176" s="31">
        <f>'октябрь 2014г. по 6-10'!K176+'октябрь 2014г. по 0,4'!K173</f>
        <v>0</v>
      </c>
      <c r="L176" s="31">
        <f>'октябрь 2014г. по 6-10'!L176+'октябрь 2014г. по 0,4'!L173</f>
        <v>0</v>
      </c>
      <c r="M176" s="31">
        <f>'октябрь 2014г. по 6-10'!M176+'октябрь 2014г. по 0,4'!M173</f>
        <v>0</v>
      </c>
      <c r="N176" s="31">
        <f>'октябрь 2014г. по 6-10'!N176+'октябрь 2014г. по 0,4'!N173</f>
        <v>0</v>
      </c>
      <c r="O176" s="31">
        <f>'октябрь 2014г. по 6-10'!O176+'октябрь 2014г. по 0,4'!O173</f>
        <v>0</v>
      </c>
      <c r="P176" s="31">
        <f>'октябрь 2014г. по 6-10'!P176+'октябрь 2014г. по 0,4'!P173</f>
        <v>0</v>
      </c>
      <c r="Q176" s="31">
        <f>'октябрь 2014г. по 6-10'!Q176+'октябрь 2014г. по 0,4'!Q173</f>
        <v>0</v>
      </c>
    </row>
    <row r="177" spans="1:17" ht="12.75" customHeight="1" x14ac:dyDescent="0.2">
      <c r="A177" s="18"/>
      <c r="B177" s="18"/>
      <c r="C177" s="18" t="s">
        <v>243</v>
      </c>
      <c r="D177" s="31">
        <f>'октябрь 2014г. по 6-10'!D177+'октябрь 2014г. по 0,4'!D174</f>
        <v>0</v>
      </c>
      <c r="E177" s="31">
        <f>'октябрь 2014г. по 6-10'!E177+'октябрь 2014г. по 0,4'!E174</f>
        <v>0</v>
      </c>
      <c r="F177" s="31">
        <f>'октябрь 2014г. по 6-10'!F177+'октябрь 2014г. по 0,4'!F174</f>
        <v>0</v>
      </c>
      <c r="G177" s="31">
        <f>'октябрь 2014г. по 6-10'!G177+'октябрь 2014г. по 0,4'!G174</f>
        <v>0</v>
      </c>
      <c r="H177" s="31">
        <f>'октябрь 2014г. по 6-10'!H177+'октябрь 2014г. по 0,4'!H174</f>
        <v>0</v>
      </c>
      <c r="I177" s="31">
        <f>'октябрь 2014г. по 6-10'!I177+'октябрь 2014г. по 0,4'!I174</f>
        <v>0</v>
      </c>
      <c r="J177" s="31">
        <f>'октябрь 2014г. по 6-10'!J177+'октябрь 2014г. по 0,4'!J174</f>
        <v>0</v>
      </c>
      <c r="K177" s="31">
        <f>'октябрь 2014г. по 6-10'!K177+'октябрь 2014г. по 0,4'!K174</f>
        <v>0</v>
      </c>
      <c r="L177" s="31">
        <f>'октябрь 2014г. по 6-10'!L177+'октябрь 2014г. по 0,4'!L174</f>
        <v>0</v>
      </c>
      <c r="M177" s="31">
        <f>'октябрь 2014г. по 6-10'!M177+'октябрь 2014г. по 0,4'!M174</f>
        <v>0</v>
      </c>
      <c r="N177" s="31">
        <f>'октябрь 2014г. по 6-10'!N177+'октябрь 2014г. по 0,4'!N174</f>
        <v>0</v>
      </c>
      <c r="O177" s="31">
        <f>'октябрь 2014г. по 6-10'!O177+'октябрь 2014г. по 0,4'!O174</f>
        <v>0</v>
      </c>
      <c r="P177" s="31">
        <f>'октябрь 2014г. по 6-10'!P177+'октябрь 2014г. по 0,4'!P174</f>
        <v>0</v>
      </c>
      <c r="Q177" s="31">
        <f>'октябрь 2014г. по 6-10'!Q177+'октябрь 2014г. по 0,4'!Q174</f>
        <v>0</v>
      </c>
    </row>
    <row r="178" spans="1:17" ht="12.75" customHeight="1" x14ac:dyDescent="0.2">
      <c r="A178" s="18"/>
      <c r="B178" s="18"/>
      <c r="C178" s="18" t="s">
        <v>349</v>
      </c>
      <c r="D178" s="31">
        <f>'октябрь 2014г. по 6-10'!D178+'октябрь 2014г. по 0,4'!D175</f>
        <v>21</v>
      </c>
      <c r="E178" s="31">
        <f>'октябрь 2014г. по 6-10'!E178+'октябрь 2014г. по 0,4'!E175</f>
        <v>395</v>
      </c>
      <c r="F178" s="31">
        <f>'октябрь 2014г. по 6-10'!F178+'октябрь 2014г. по 0,4'!F175</f>
        <v>11</v>
      </c>
      <c r="G178" s="31">
        <f>'октябрь 2014г. по 6-10'!G178+'октябрь 2014г. по 0,4'!G175</f>
        <v>148</v>
      </c>
      <c r="H178" s="31">
        <f>'октябрь 2014г. по 6-10'!H178+'октябрь 2014г. по 0,4'!H175</f>
        <v>0</v>
      </c>
      <c r="I178" s="31">
        <f>'октябрь 2014г. по 6-10'!I178+'октябрь 2014г. по 0,4'!I175</f>
        <v>0</v>
      </c>
      <c r="J178" s="31">
        <f>'октябрь 2014г. по 6-10'!J178+'октябрь 2014г. по 0,4'!J175</f>
        <v>0</v>
      </c>
      <c r="K178" s="31">
        <f>'октябрь 2014г. по 6-10'!K178+'октябрь 2014г. по 0,4'!K175</f>
        <v>0</v>
      </c>
      <c r="L178" s="31">
        <f>'октябрь 2014г. по 6-10'!L178+'октябрь 2014г. по 0,4'!L175</f>
        <v>0</v>
      </c>
      <c r="M178" s="31">
        <f>'октябрь 2014г. по 6-10'!M178+'октябрь 2014г. по 0,4'!M175</f>
        <v>0</v>
      </c>
      <c r="N178" s="31">
        <f>'октябрь 2014г. по 6-10'!N178+'октябрь 2014г. по 0,4'!N175</f>
        <v>0</v>
      </c>
      <c r="O178" s="31">
        <f>'октябрь 2014г. по 6-10'!O178+'октябрь 2014г. по 0,4'!O175</f>
        <v>0</v>
      </c>
      <c r="P178" s="31">
        <f>'октябрь 2014г. по 6-10'!P178+'октябрь 2014г. по 0,4'!P175</f>
        <v>0</v>
      </c>
      <c r="Q178" s="31">
        <f>'октябрь 2014г. по 6-10'!Q178+'октябрь 2014г. по 0,4'!Q175</f>
        <v>0</v>
      </c>
    </row>
    <row r="179" spans="1:17" ht="12.75" customHeight="1" x14ac:dyDescent="0.2">
      <c r="A179" s="18"/>
      <c r="B179" s="18"/>
      <c r="C179" s="18" t="s">
        <v>244</v>
      </c>
      <c r="D179" s="31">
        <f>'октябрь 2014г. по 6-10'!D179+'октябрь 2014г. по 0,4'!D176</f>
        <v>3</v>
      </c>
      <c r="E179" s="31">
        <f>'октябрь 2014г. по 6-10'!E179+'октябрь 2014г. по 0,4'!E176</f>
        <v>25</v>
      </c>
      <c r="F179" s="31">
        <f>'октябрь 2014г. по 6-10'!F179+'октябрь 2014г. по 0,4'!F176</f>
        <v>3</v>
      </c>
      <c r="G179" s="31">
        <f>'октябрь 2014г. по 6-10'!G179+'октябрь 2014г. по 0,4'!G176</f>
        <v>25</v>
      </c>
      <c r="H179" s="31">
        <f>'октябрь 2014г. по 6-10'!H179+'октябрь 2014г. по 0,4'!H176</f>
        <v>0</v>
      </c>
      <c r="I179" s="31">
        <f>'октябрь 2014г. по 6-10'!I179+'октябрь 2014г. по 0,4'!I176</f>
        <v>0</v>
      </c>
      <c r="J179" s="31">
        <f>'октябрь 2014г. по 6-10'!J179+'октябрь 2014г. по 0,4'!J176</f>
        <v>2</v>
      </c>
      <c r="K179" s="31">
        <f>'октябрь 2014г. по 6-10'!K179+'октябрь 2014г. по 0,4'!K176</f>
        <v>8</v>
      </c>
      <c r="L179" s="31">
        <f>'октябрь 2014г. по 6-10'!L179+'октябрь 2014г. по 0,4'!L176</f>
        <v>0</v>
      </c>
      <c r="M179" s="31">
        <f>'октябрь 2014г. по 6-10'!M179+'октябрь 2014г. по 0,4'!M176</f>
        <v>0</v>
      </c>
      <c r="N179" s="31">
        <f>'октябрь 2014г. по 6-10'!N179+'октябрь 2014г. по 0,4'!N176</f>
        <v>0</v>
      </c>
      <c r="O179" s="31">
        <f>'октябрь 2014г. по 6-10'!O179+'октябрь 2014г. по 0,4'!O176</f>
        <v>0</v>
      </c>
      <c r="P179" s="31">
        <f>'октябрь 2014г. по 6-10'!P179+'октябрь 2014г. по 0,4'!P176</f>
        <v>0</v>
      </c>
      <c r="Q179" s="31">
        <f>'октябрь 2014г. по 6-10'!Q179+'октябрь 2014г. по 0,4'!Q176</f>
        <v>0</v>
      </c>
    </row>
    <row r="180" spans="1:17" ht="12.75" customHeight="1" x14ac:dyDescent="0.2">
      <c r="A180" s="18"/>
      <c r="B180" s="18"/>
      <c r="C180" s="18" t="s">
        <v>245</v>
      </c>
      <c r="D180" s="31">
        <f>'октябрь 2014г. по 6-10'!D180+'октябрь 2014г. по 0,4'!D177</f>
        <v>2</v>
      </c>
      <c r="E180" s="31">
        <f>'октябрь 2014г. по 6-10'!E180+'октябрь 2014г. по 0,4'!E177</f>
        <v>105</v>
      </c>
      <c r="F180" s="31">
        <f>'октябрь 2014г. по 6-10'!F180+'октябрь 2014г. по 0,4'!F177</f>
        <v>2</v>
      </c>
      <c r="G180" s="31">
        <f>'октябрь 2014г. по 6-10'!G180+'октябрь 2014г. по 0,4'!G177</f>
        <v>25</v>
      </c>
      <c r="H180" s="31">
        <f>'октябрь 2014г. по 6-10'!H180+'октябрь 2014г. по 0,4'!H177</f>
        <v>0</v>
      </c>
      <c r="I180" s="31">
        <f>'октябрь 2014г. по 6-10'!I180+'октябрь 2014г. по 0,4'!I177</f>
        <v>0</v>
      </c>
      <c r="J180" s="31">
        <f>'октябрь 2014г. по 6-10'!J180+'октябрь 2014г. по 0,4'!J177</f>
        <v>0</v>
      </c>
      <c r="K180" s="31">
        <f>'октябрь 2014г. по 6-10'!K180+'октябрь 2014г. по 0,4'!K177</f>
        <v>0</v>
      </c>
      <c r="L180" s="31">
        <f>'октябрь 2014г. по 6-10'!L180+'октябрь 2014г. по 0,4'!L177</f>
        <v>0</v>
      </c>
      <c r="M180" s="31">
        <f>'октябрь 2014г. по 6-10'!M180+'октябрь 2014г. по 0,4'!M177</f>
        <v>0</v>
      </c>
      <c r="N180" s="31">
        <f>'октябрь 2014г. по 6-10'!N180+'октябрь 2014г. по 0,4'!N177</f>
        <v>0</v>
      </c>
      <c r="O180" s="31">
        <f>'октябрь 2014г. по 6-10'!O180+'октябрь 2014г. по 0,4'!O177</f>
        <v>0</v>
      </c>
      <c r="P180" s="31">
        <f>'октябрь 2014г. по 6-10'!P180+'октябрь 2014г. по 0,4'!P177</f>
        <v>0</v>
      </c>
      <c r="Q180" s="31">
        <f>'октябрь 2014г. по 6-10'!Q180+'октябрь 2014г. по 0,4'!Q177</f>
        <v>0</v>
      </c>
    </row>
    <row r="181" spans="1:17" ht="12.75" customHeight="1" x14ac:dyDescent="0.2">
      <c r="A181" s="18"/>
      <c r="B181" s="18"/>
      <c r="C181" s="18" t="s">
        <v>246</v>
      </c>
      <c r="D181" s="31">
        <f>'октябрь 2014г. по 6-10'!D181+'октябрь 2014г. по 0,4'!D178</f>
        <v>2</v>
      </c>
      <c r="E181" s="31">
        <f>'октябрь 2014г. по 6-10'!E181+'октябрь 2014г. по 0,4'!E178</f>
        <v>92</v>
      </c>
      <c r="F181" s="31">
        <f>'октябрь 2014г. по 6-10'!F181+'октябрь 2014г. по 0,4'!F178</f>
        <v>2</v>
      </c>
      <c r="G181" s="31">
        <f>'октябрь 2014г. по 6-10'!G181+'октябрь 2014г. по 0,4'!G178</f>
        <v>22</v>
      </c>
      <c r="H181" s="31">
        <f>'октябрь 2014г. по 6-10'!H181+'октябрь 2014г. по 0,4'!H178</f>
        <v>0</v>
      </c>
      <c r="I181" s="31">
        <f>'октябрь 2014г. по 6-10'!I181+'октябрь 2014г. по 0,4'!I178</f>
        <v>0</v>
      </c>
      <c r="J181" s="31">
        <f>'октябрь 2014г. по 6-10'!J181+'октябрь 2014г. по 0,4'!J178</f>
        <v>0</v>
      </c>
      <c r="K181" s="31">
        <f>'октябрь 2014г. по 6-10'!K181+'октябрь 2014г. по 0,4'!K178</f>
        <v>0</v>
      </c>
      <c r="L181" s="31">
        <f>'октябрь 2014г. по 6-10'!L181+'октябрь 2014г. по 0,4'!L178</f>
        <v>0</v>
      </c>
      <c r="M181" s="31">
        <f>'октябрь 2014г. по 6-10'!M181+'октябрь 2014г. по 0,4'!M178</f>
        <v>0</v>
      </c>
      <c r="N181" s="31">
        <f>'октябрь 2014г. по 6-10'!N181+'октябрь 2014г. по 0,4'!N178</f>
        <v>0</v>
      </c>
      <c r="O181" s="31">
        <f>'октябрь 2014г. по 6-10'!O181+'октябрь 2014г. по 0,4'!O178</f>
        <v>0</v>
      </c>
      <c r="P181" s="31">
        <f>'октябрь 2014г. по 6-10'!P181+'октябрь 2014г. по 0,4'!P178</f>
        <v>0</v>
      </c>
      <c r="Q181" s="31">
        <f>'октябрь 2014г. по 6-10'!Q181+'октябрь 2014г. по 0,4'!Q178</f>
        <v>0</v>
      </c>
    </row>
    <row r="182" spans="1:17" ht="12.75" customHeight="1" x14ac:dyDescent="0.2">
      <c r="A182" s="18"/>
      <c r="B182" s="18"/>
      <c r="C182" s="18" t="s">
        <v>247</v>
      </c>
      <c r="D182" s="31">
        <f>'октябрь 2014г. по 6-10'!D182+'октябрь 2014г. по 0,4'!D179</f>
        <v>7</v>
      </c>
      <c r="E182" s="31">
        <f>'октябрь 2014г. по 6-10'!E182+'октябрь 2014г. по 0,4'!E179</f>
        <v>106</v>
      </c>
      <c r="F182" s="31">
        <f>'октябрь 2014г. по 6-10'!F182+'октябрь 2014г. по 0,4'!F179</f>
        <v>4</v>
      </c>
      <c r="G182" s="31">
        <f>'октябрь 2014г. по 6-10'!G182+'октябрь 2014г. по 0,4'!G179</f>
        <v>46</v>
      </c>
      <c r="H182" s="31">
        <f>'октябрь 2014г. по 6-10'!H182+'октябрь 2014г. по 0,4'!H179</f>
        <v>0</v>
      </c>
      <c r="I182" s="31">
        <f>'октябрь 2014г. по 6-10'!I182+'октябрь 2014г. по 0,4'!I179</f>
        <v>0</v>
      </c>
      <c r="J182" s="31">
        <f>'октябрь 2014г. по 6-10'!J182+'октябрь 2014г. по 0,4'!J179</f>
        <v>3</v>
      </c>
      <c r="K182" s="31">
        <f>'октябрь 2014г. по 6-10'!K182+'октябрь 2014г. по 0,4'!K179</f>
        <v>15</v>
      </c>
      <c r="L182" s="31">
        <f>'октябрь 2014г. по 6-10'!L182+'октябрь 2014г. по 0,4'!L179</f>
        <v>0</v>
      </c>
      <c r="M182" s="31">
        <f>'октябрь 2014г. по 6-10'!M182+'октябрь 2014г. по 0,4'!M179</f>
        <v>0</v>
      </c>
      <c r="N182" s="31">
        <f>'октябрь 2014г. по 6-10'!N182+'октябрь 2014г. по 0,4'!N179</f>
        <v>0</v>
      </c>
      <c r="O182" s="31">
        <f>'октябрь 2014г. по 6-10'!O182+'октябрь 2014г. по 0,4'!O179</f>
        <v>0</v>
      </c>
      <c r="P182" s="31">
        <f>'октябрь 2014г. по 6-10'!P182+'октябрь 2014г. по 0,4'!P179</f>
        <v>0</v>
      </c>
      <c r="Q182" s="31">
        <f>'октябрь 2014г. по 6-10'!Q182+'октябрь 2014г. по 0,4'!Q179</f>
        <v>0</v>
      </c>
    </row>
    <row r="183" spans="1:17" ht="12.75" customHeight="1" x14ac:dyDescent="0.2">
      <c r="A183" s="18"/>
      <c r="B183" s="18"/>
      <c r="C183" s="18" t="s">
        <v>249</v>
      </c>
      <c r="D183" s="31">
        <f>'октябрь 2014г. по 6-10'!D183+'октябрь 2014г. по 0,4'!D180</f>
        <v>2</v>
      </c>
      <c r="E183" s="31">
        <f>'октябрь 2014г. по 6-10'!E183+'октябрь 2014г. по 0,4'!E180</f>
        <v>120</v>
      </c>
      <c r="F183" s="31">
        <f>'октябрь 2014г. по 6-10'!F183+'октябрь 2014г. по 0,4'!F180</f>
        <v>2</v>
      </c>
      <c r="G183" s="31">
        <f>'октябрь 2014г. по 6-10'!G183+'октябрь 2014г. по 0,4'!G180</f>
        <v>20</v>
      </c>
      <c r="H183" s="31">
        <f>'октябрь 2014г. по 6-10'!H183+'октябрь 2014г. по 0,4'!H180</f>
        <v>0</v>
      </c>
      <c r="I183" s="31">
        <f>'октябрь 2014г. по 6-10'!I183+'октябрь 2014г. по 0,4'!I180</f>
        <v>0</v>
      </c>
      <c r="J183" s="31">
        <f>'октябрь 2014г. по 6-10'!J183+'октябрь 2014г. по 0,4'!J180</f>
        <v>0</v>
      </c>
      <c r="K183" s="31">
        <f>'октябрь 2014г. по 6-10'!K183+'октябрь 2014г. по 0,4'!K180</f>
        <v>0</v>
      </c>
      <c r="L183" s="31">
        <f>'октябрь 2014г. по 6-10'!L183+'октябрь 2014г. по 0,4'!L180</f>
        <v>0</v>
      </c>
      <c r="M183" s="31">
        <f>'октябрь 2014г. по 6-10'!M183+'октябрь 2014г. по 0,4'!M180</f>
        <v>0</v>
      </c>
      <c r="N183" s="31">
        <f>'октябрь 2014г. по 6-10'!N183+'октябрь 2014г. по 0,4'!N180</f>
        <v>0</v>
      </c>
      <c r="O183" s="31">
        <f>'октябрь 2014г. по 6-10'!O183+'октябрь 2014г. по 0,4'!O180</f>
        <v>0</v>
      </c>
      <c r="P183" s="31">
        <f>'октябрь 2014г. по 6-10'!P183+'октябрь 2014г. по 0,4'!P180</f>
        <v>0</v>
      </c>
      <c r="Q183" s="31">
        <f>'октябрь 2014г. по 6-10'!Q183+'октябрь 2014г. по 0,4'!Q180</f>
        <v>0</v>
      </c>
    </row>
    <row r="184" spans="1:17" ht="12.75" customHeight="1" x14ac:dyDescent="0.2">
      <c r="A184" s="18"/>
      <c r="B184" s="18"/>
      <c r="C184" s="54" t="s">
        <v>248</v>
      </c>
      <c r="D184" s="31">
        <f>'октябрь 2014г. по 6-10'!D184+'октябрь 2014г. по 0,4'!D181</f>
        <v>17</v>
      </c>
      <c r="E184" s="31">
        <f>'октябрь 2014г. по 6-10'!E184+'октябрь 2014г. по 0,4'!E181</f>
        <v>153</v>
      </c>
      <c r="F184" s="31">
        <f>'октябрь 2014г. по 6-10'!F184+'октябрь 2014г. по 0,4'!F181</f>
        <v>11</v>
      </c>
      <c r="G184" s="31">
        <f>'октябрь 2014г. по 6-10'!G184+'октябрь 2014г. по 0,4'!G181</f>
        <v>153</v>
      </c>
      <c r="H184" s="31">
        <f>'октябрь 2014г. по 6-10'!H184+'октябрь 2014г. по 0,4'!H181</f>
        <v>0</v>
      </c>
      <c r="I184" s="31">
        <f>'октябрь 2014г. по 6-10'!I184+'октябрь 2014г. по 0,4'!I181</f>
        <v>0</v>
      </c>
      <c r="J184" s="31">
        <f>'октябрь 2014г. по 6-10'!J184+'октябрь 2014г. по 0,4'!J181</f>
        <v>0</v>
      </c>
      <c r="K184" s="31">
        <f>'октябрь 2014г. по 6-10'!K184+'октябрь 2014г. по 0,4'!K181</f>
        <v>0</v>
      </c>
      <c r="L184" s="31">
        <f>'октябрь 2014г. по 6-10'!L184+'октябрь 2014г. по 0,4'!L181</f>
        <v>0</v>
      </c>
      <c r="M184" s="31">
        <f>'октябрь 2014г. по 6-10'!M184+'октябрь 2014г. по 0,4'!M181</f>
        <v>0</v>
      </c>
      <c r="N184" s="31">
        <f>'октябрь 2014г. по 6-10'!N184+'октябрь 2014г. по 0,4'!N181</f>
        <v>0</v>
      </c>
      <c r="O184" s="31">
        <f>'октябрь 2014г. по 6-10'!O184+'октябрь 2014г. по 0,4'!O181</f>
        <v>0</v>
      </c>
      <c r="P184" s="31">
        <f>'октябрь 2014г. по 6-10'!P184+'октябрь 2014г. по 0,4'!P181</f>
        <v>0</v>
      </c>
      <c r="Q184" s="31">
        <f>'октябрь 2014г. по 6-10'!Q184+'октябрь 2014г. по 0,4'!Q181</f>
        <v>0</v>
      </c>
    </row>
    <row r="185" spans="1:17" ht="12.75" customHeight="1" x14ac:dyDescent="0.2">
      <c r="A185" s="18"/>
      <c r="B185" s="18"/>
      <c r="C185" s="20" t="s">
        <v>30</v>
      </c>
      <c r="D185" s="88">
        <f>SUM(D155:D184)</f>
        <v>262</v>
      </c>
      <c r="E185" s="88">
        <f t="shared" ref="E185:Q185" si="3">SUM(E155:E184)</f>
        <v>7325</v>
      </c>
      <c r="F185" s="88">
        <f t="shared" si="3"/>
        <v>100</v>
      </c>
      <c r="G185" s="88">
        <f t="shared" si="3"/>
        <v>1755</v>
      </c>
      <c r="H185" s="88">
        <f t="shared" si="3"/>
        <v>0</v>
      </c>
      <c r="I185" s="88">
        <f t="shared" si="3"/>
        <v>0</v>
      </c>
      <c r="J185" s="88">
        <f t="shared" si="3"/>
        <v>130</v>
      </c>
      <c r="K185" s="88">
        <f t="shared" si="3"/>
        <v>1241</v>
      </c>
      <c r="L185" s="88">
        <f t="shared" si="3"/>
        <v>0</v>
      </c>
      <c r="M185" s="88">
        <f t="shared" si="3"/>
        <v>0</v>
      </c>
      <c r="N185" s="88">
        <f t="shared" si="3"/>
        <v>0</v>
      </c>
      <c r="O185" s="88">
        <f t="shared" si="3"/>
        <v>0</v>
      </c>
      <c r="P185" s="88">
        <f t="shared" si="3"/>
        <v>0</v>
      </c>
      <c r="Q185" s="88">
        <f t="shared" si="3"/>
        <v>0</v>
      </c>
    </row>
    <row r="186" spans="1:17" ht="15" x14ac:dyDescent="0.25">
      <c r="A186" s="18"/>
      <c r="B186" s="18"/>
      <c r="C186" s="58" t="s">
        <v>259</v>
      </c>
      <c r="D186" s="31"/>
      <c r="E186" s="31"/>
      <c r="F186" s="31"/>
      <c r="G186" s="31"/>
      <c r="H186" s="47"/>
      <c r="I186" s="47"/>
      <c r="J186" s="31"/>
      <c r="K186" s="31"/>
      <c r="L186" s="8"/>
      <c r="M186" s="8"/>
      <c r="N186" s="8"/>
      <c r="O186" s="8"/>
      <c r="P186" s="8"/>
      <c r="Q186" s="8"/>
    </row>
    <row r="187" spans="1:17" ht="12.75" customHeight="1" x14ac:dyDescent="0.2">
      <c r="A187" s="18"/>
      <c r="B187" s="53"/>
      <c r="C187" s="57" t="s">
        <v>251</v>
      </c>
      <c r="D187" s="31">
        <f>'октябрь 2014г. по 6-10'!D187+'октябрь 2014г. по 0,4'!D184</f>
        <v>71</v>
      </c>
      <c r="E187" s="31">
        <f>'октябрь 2014г. по 6-10'!E187+'октябрь 2014г. по 0,4'!E184</f>
        <v>216</v>
      </c>
      <c r="F187" s="31">
        <f>'октябрь 2014г. по 6-10'!F187+'октябрь 2014г. по 0,4'!F184</f>
        <v>26</v>
      </c>
      <c r="G187" s="31">
        <f>'октябрь 2014г. по 6-10'!G187+'октябрь 2014г. по 0,4'!G184</f>
        <v>75</v>
      </c>
      <c r="H187" s="31">
        <f>'октябрь 2014г. по 6-10'!H187+'октябрь 2014г. по 0,4'!H184</f>
        <v>0</v>
      </c>
      <c r="I187" s="31">
        <f>'октябрь 2014г. по 6-10'!I187+'октябрь 2014г. по 0,4'!I184</f>
        <v>0</v>
      </c>
      <c r="J187" s="31">
        <f>'октябрь 2014г. по 6-10'!J187+'октябрь 2014г. по 0,4'!J184</f>
        <v>28</v>
      </c>
      <c r="K187" s="31">
        <f>'октябрь 2014г. по 6-10'!K187+'октябрь 2014г. по 0,4'!K184</f>
        <v>190</v>
      </c>
      <c r="L187" s="31">
        <f>'октябрь 2014г. по 6-10'!L187+'октябрь 2014г. по 0,4'!L184</f>
        <v>0</v>
      </c>
      <c r="M187" s="31">
        <f>'октябрь 2014г. по 6-10'!M187+'октябрь 2014г. по 0,4'!M184</f>
        <v>0</v>
      </c>
      <c r="N187" s="31">
        <f>'октябрь 2014г. по 6-10'!N187+'октябрь 2014г. по 0,4'!N184</f>
        <v>0</v>
      </c>
      <c r="O187" s="31">
        <f>'октябрь 2014г. по 6-10'!O187+'октябрь 2014г. по 0,4'!O184</f>
        <v>0</v>
      </c>
      <c r="P187" s="31">
        <f>'октябрь 2014г. по 6-10'!P187+'октябрь 2014г. по 0,4'!P184</f>
        <v>0</v>
      </c>
      <c r="Q187" s="31">
        <f>'октябрь 2014г. по 6-10'!Q187+'октябрь 2014г. по 0,4'!Q184</f>
        <v>0</v>
      </c>
    </row>
    <row r="188" spans="1:17" ht="12.75" customHeight="1" x14ac:dyDescent="0.2">
      <c r="A188" s="18"/>
      <c r="B188" s="53"/>
      <c r="C188" s="50" t="s">
        <v>252</v>
      </c>
      <c r="D188" s="31">
        <f>'октябрь 2014г. по 6-10'!D188+'октябрь 2014г. по 0,4'!D185</f>
        <v>49</v>
      </c>
      <c r="E188" s="31">
        <f>'октябрь 2014г. по 6-10'!E188+'октябрь 2014г. по 0,4'!E185</f>
        <v>188</v>
      </c>
      <c r="F188" s="31">
        <f>'октябрь 2014г. по 6-10'!F188+'октябрь 2014г. по 0,4'!F185</f>
        <v>9</v>
      </c>
      <c r="G188" s="31">
        <f>'октябрь 2014г. по 6-10'!G188+'октябрь 2014г. по 0,4'!G185</f>
        <v>55</v>
      </c>
      <c r="H188" s="31">
        <f>'октябрь 2014г. по 6-10'!H188+'октябрь 2014г. по 0,4'!H185</f>
        <v>0</v>
      </c>
      <c r="I188" s="31">
        <f>'октябрь 2014г. по 6-10'!I188+'октябрь 2014г. по 0,4'!I185</f>
        <v>0</v>
      </c>
      <c r="J188" s="31">
        <f>'октябрь 2014г. по 6-10'!J188+'октябрь 2014г. по 0,4'!J185</f>
        <v>0</v>
      </c>
      <c r="K188" s="31">
        <f>'октябрь 2014г. по 6-10'!K188+'октябрь 2014г. по 0,4'!K185</f>
        <v>0</v>
      </c>
      <c r="L188" s="31">
        <f>'октябрь 2014г. по 6-10'!L188+'октябрь 2014г. по 0,4'!L185</f>
        <v>0</v>
      </c>
      <c r="M188" s="31">
        <f>'октябрь 2014г. по 6-10'!M188+'октябрь 2014г. по 0,4'!M185</f>
        <v>0</v>
      </c>
      <c r="N188" s="31">
        <f>'октябрь 2014г. по 6-10'!N188+'октябрь 2014г. по 0,4'!N185</f>
        <v>0</v>
      </c>
      <c r="O188" s="31">
        <f>'октябрь 2014г. по 6-10'!O188+'октябрь 2014г. по 0,4'!O185</f>
        <v>0</v>
      </c>
      <c r="P188" s="31">
        <f>'октябрь 2014г. по 6-10'!P188+'октябрь 2014г. по 0,4'!P185</f>
        <v>0</v>
      </c>
      <c r="Q188" s="31">
        <f>'октябрь 2014г. по 6-10'!Q188+'октябрь 2014г. по 0,4'!Q185</f>
        <v>0</v>
      </c>
    </row>
    <row r="189" spans="1:17" ht="12.75" customHeight="1" x14ac:dyDescent="0.2">
      <c r="A189" s="18"/>
      <c r="B189" s="53"/>
      <c r="C189" s="50" t="s">
        <v>253</v>
      </c>
      <c r="D189" s="31">
        <f>'октябрь 2014г. по 6-10'!D189+'октябрь 2014г. по 0,4'!D186</f>
        <v>14</v>
      </c>
      <c r="E189" s="31">
        <f>'октябрь 2014г. по 6-10'!E189+'октябрь 2014г. по 0,4'!E186</f>
        <v>90</v>
      </c>
      <c r="F189" s="31">
        <f>'октябрь 2014г. по 6-10'!F189+'октябрь 2014г. по 0,4'!F186</f>
        <v>6</v>
      </c>
      <c r="G189" s="31">
        <f>'октябрь 2014г. по 6-10'!G189+'октябрь 2014г. по 0,4'!G186</f>
        <v>63</v>
      </c>
      <c r="H189" s="31">
        <f>'октябрь 2014г. по 6-10'!H189+'октябрь 2014г. по 0,4'!H186</f>
        <v>0</v>
      </c>
      <c r="I189" s="31">
        <f>'октябрь 2014г. по 6-10'!I189+'октябрь 2014г. по 0,4'!I186</f>
        <v>0</v>
      </c>
      <c r="J189" s="31">
        <f>'октябрь 2014г. по 6-10'!J189+'октябрь 2014г. по 0,4'!J186</f>
        <v>0</v>
      </c>
      <c r="K189" s="31">
        <f>'октябрь 2014г. по 6-10'!K189+'октябрь 2014г. по 0,4'!K186</f>
        <v>0</v>
      </c>
      <c r="L189" s="31">
        <f>'октябрь 2014г. по 6-10'!L189+'октябрь 2014г. по 0,4'!L186</f>
        <v>0</v>
      </c>
      <c r="M189" s="31">
        <f>'октябрь 2014г. по 6-10'!M189+'октябрь 2014г. по 0,4'!M186</f>
        <v>0</v>
      </c>
      <c r="N189" s="31">
        <f>'октябрь 2014г. по 6-10'!N189+'октябрь 2014г. по 0,4'!N186</f>
        <v>0</v>
      </c>
      <c r="O189" s="31">
        <f>'октябрь 2014г. по 6-10'!O189+'октябрь 2014г. по 0,4'!O186</f>
        <v>0</v>
      </c>
      <c r="P189" s="31">
        <f>'октябрь 2014г. по 6-10'!P189+'октябрь 2014г. по 0,4'!P186</f>
        <v>0</v>
      </c>
      <c r="Q189" s="31">
        <f>'октябрь 2014г. по 6-10'!Q189+'октябрь 2014г. по 0,4'!Q186</f>
        <v>0</v>
      </c>
    </row>
    <row r="190" spans="1:17" ht="12.75" customHeight="1" x14ac:dyDescent="0.2">
      <c r="A190" s="18"/>
      <c r="B190" s="53"/>
      <c r="C190" s="50" t="s">
        <v>254</v>
      </c>
      <c r="D190" s="31">
        <f>'октябрь 2014г. по 6-10'!D190+'октябрь 2014г. по 0,4'!D187</f>
        <v>8</v>
      </c>
      <c r="E190" s="31">
        <f>'октябрь 2014г. по 6-10'!E190+'октябрь 2014г. по 0,4'!E187</f>
        <v>80</v>
      </c>
      <c r="F190" s="31">
        <f>'октябрь 2014г. по 6-10'!F190+'октябрь 2014г. по 0,4'!F187</f>
        <v>7</v>
      </c>
      <c r="G190" s="31">
        <f>'октябрь 2014г. по 6-10'!G190+'октябрь 2014г. по 0,4'!G187</f>
        <v>45</v>
      </c>
      <c r="H190" s="31">
        <f>'октябрь 2014г. по 6-10'!H190+'октябрь 2014г. по 0,4'!H187</f>
        <v>0</v>
      </c>
      <c r="I190" s="31">
        <f>'октябрь 2014г. по 6-10'!I190+'октябрь 2014г. по 0,4'!I187</f>
        <v>0</v>
      </c>
      <c r="J190" s="31">
        <f>'октябрь 2014г. по 6-10'!J190+'октябрь 2014г. по 0,4'!J187</f>
        <v>0</v>
      </c>
      <c r="K190" s="31">
        <f>'октябрь 2014г. по 6-10'!K190+'октябрь 2014г. по 0,4'!K187</f>
        <v>0</v>
      </c>
      <c r="L190" s="31">
        <f>'октябрь 2014г. по 6-10'!L190+'октябрь 2014г. по 0,4'!L187</f>
        <v>0</v>
      </c>
      <c r="M190" s="31">
        <f>'октябрь 2014г. по 6-10'!M190+'октябрь 2014г. по 0,4'!M187</f>
        <v>0</v>
      </c>
      <c r="N190" s="31">
        <f>'октябрь 2014г. по 6-10'!N190+'октябрь 2014г. по 0,4'!N187</f>
        <v>0</v>
      </c>
      <c r="O190" s="31">
        <f>'октябрь 2014г. по 6-10'!O190+'октябрь 2014г. по 0,4'!O187</f>
        <v>0</v>
      </c>
      <c r="P190" s="31">
        <f>'октябрь 2014г. по 6-10'!P190+'октябрь 2014г. по 0,4'!P187</f>
        <v>0</v>
      </c>
      <c r="Q190" s="31">
        <f>'октябрь 2014г. по 6-10'!Q190+'октябрь 2014г. по 0,4'!Q187</f>
        <v>0</v>
      </c>
    </row>
    <row r="191" spans="1:17" ht="12.75" customHeight="1" x14ac:dyDescent="0.2">
      <c r="A191" s="18"/>
      <c r="B191" s="53"/>
      <c r="C191" s="50" t="s">
        <v>255</v>
      </c>
      <c r="D191" s="31">
        <f>'октябрь 2014г. по 6-10'!D191+'октябрь 2014г. по 0,4'!D188</f>
        <v>9</v>
      </c>
      <c r="E191" s="31">
        <f>'октябрь 2014г. по 6-10'!E191+'октябрь 2014г. по 0,4'!E188</f>
        <v>93</v>
      </c>
      <c r="F191" s="31">
        <f>'октябрь 2014г. по 6-10'!F191+'октябрь 2014г. по 0,4'!F188</f>
        <v>7</v>
      </c>
      <c r="G191" s="31">
        <f>'октябрь 2014г. по 6-10'!G191+'октябрь 2014г. по 0,4'!G188</f>
        <v>65</v>
      </c>
      <c r="H191" s="31">
        <f>'октябрь 2014г. по 6-10'!H191+'октябрь 2014г. по 0,4'!H188</f>
        <v>0</v>
      </c>
      <c r="I191" s="31">
        <f>'октябрь 2014г. по 6-10'!I191+'октябрь 2014г. по 0,4'!I188</f>
        <v>0</v>
      </c>
      <c r="J191" s="31">
        <f>'октябрь 2014г. по 6-10'!J191+'октябрь 2014г. по 0,4'!J188</f>
        <v>0</v>
      </c>
      <c r="K191" s="31">
        <f>'октябрь 2014г. по 6-10'!K191+'октябрь 2014г. по 0,4'!K188</f>
        <v>0</v>
      </c>
      <c r="L191" s="31">
        <f>'октябрь 2014г. по 6-10'!L191+'октябрь 2014г. по 0,4'!L188</f>
        <v>0</v>
      </c>
      <c r="M191" s="31">
        <f>'октябрь 2014г. по 6-10'!M191+'октябрь 2014г. по 0,4'!M188</f>
        <v>0</v>
      </c>
      <c r="N191" s="31">
        <f>'октябрь 2014г. по 6-10'!N191+'октябрь 2014г. по 0,4'!N188</f>
        <v>0</v>
      </c>
      <c r="O191" s="31">
        <f>'октябрь 2014г. по 6-10'!O191+'октябрь 2014г. по 0,4'!O188</f>
        <v>0</v>
      </c>
      <c r="P191" s="31">
        <f>'октябрь 2014г. по 6-10'!P191+'октябрь 2014г. по 0,4'!P188</f>
        <v>0</v>
      </c>
      <c r="Q191" s="31">
        <f>'октябрь 2014г. по 6-10'!Q191+'октябрь 2014г. по 0,4'!Q188</f>
        <v>0</v>
      </c>
    </row>
    <row r="192" spans="1:17" ht="12.75" customHeight="1" x14ac:dyDescent="0.2">
      <c r="A192" s="18"/>
      <c r="B192" s="53"/>
      <c r="C192" s="50" t="s">
        <v>256</v>
      </c>
      <c r="D192" s="31">
        <f>'октябрь 2014г. по 6-10'!D192+'октябрь 2014г. по 0,4'!D189</f>
        <v>5</v>
      </c>
      <c r="E192" s="31">
        <f>'октябрь 2014г. по 6-10'!E192+'октябрь 2014г. по 0,4'!E189</f>
        <v>20</v>
      </c>
      <c r="F192" s="31">
        <f>'октябрь 2014г. по 6-10'!F192+'октябрь 2014г. по 0,4'!F189</f>
        <v>5</v>
      </c>
      <c r="G192" s="31">
        <f>'октябрь 2014г. по 6-10'!G192+'октябрь 2014г. по 0,4'!G189</f>
        <v>20</v>
      </c>
      <c r="H192" s="31">
        <f>'октябрь 2014г. по 6-10'!H192+'октябрь 2014г. по 0,4'!H189</f>
        <v>0</v>
      </c>
      <c r="I192" s="31">
        <f>'октябрь 2014г. по 6-10'!I192+'октябрь 2014г. по 0,4'!I189</f>
        <v>0</v>
      </c>
      <c r="J192" s="31">
        <f>'октябрь 2014г. по 6-10'!J192+'октябрь 2014г. по 0,4'!J189</f>
        <v>0</v>
      </c>
      <c r="K192" s="31">
        <f>'октябрь 2014г. по 6-10'!K192+'октябрь 2014г. по 0,4'!K189</f>
        <v>0</v>
      </c>
      <c r="L192" s="31">
        <f>'октябрь 2014г. по 6-10'!L192+'октябрь 2014г. по 0,4'!L189</f>
        <v>0</v>
      </c>
      <c r="M192" s="31">
        <f>'октябрь 2014г. по 6-10'!M192+'октябрь 2014г. по 0,4'!M189</f>
        <v>0</v>
      </c>
      <c r="N192" s="31">
        <f>'октябрь 2014г. по 6-10'!N192+'октябрь 2014г. по 0,4'!N189</f>
        <v>0</v>
      </c>
      <c r="O192" s="31">
        <f>'октябрь 2014г. по 6-10'!O192+'октябрь 2014г. по 0,4'!O189</f>
        <v>0</v>
      </c>
      <c r="P192" s="31">
        <f>'октябрь 2014г. по 6-10'!P192+'октябрь 2014г. по 0,4'!P189</f>
        <v>0</v>
      </c>
      <c r="Q192" s="31">
        <f>'октябрь 2014г. по 6-10'!Q192+'октябрь 2014г. по 0,4'!Q189</f>
        <v>0</v>
      </c>
    </row>
    <row r="193" spans="1:17" ht="12.75" customHeight="1" x14ac:dyDescent="0.2">
      <c r="A193" s="18"/>
      <c r="B193" s="53"/>
      <c r="C193" s="50" t="s">
        <v>257</v>
      </c>
      <c r="D193" s="31">
        <f>'октябрь 2014г. по 6-10'!D193+'октябрь 2014г. по 0,4'!D190</f>
        <v>11</v>
      </c>
      <c r="E193" s="31">
        <f>'октябрь 2014г. по 6-10'!E193+'октябрь 2014г. по 0,4'!E190</f>
        <v>70</v>
      </c>
      <c r="F193" s="31">
        <f>'октябрь 2014г. по 6-10'!F193+'октябрь 2014г. по 0,4'!F190</f>
        <v>7</v>
      </c>
      <c r="G193" s="31">
        <f>'октябрь 2014г. по 6-10'!G193+'октябрь 2014г. по 0,4'!G190</f>
        <v>55</v>
      </c>
      <c r="H193" s="31">
        <f>'октябрь 2014г. по 6-10'!H193+'октябрь 2014г. по 0,4'!H190</f>
        <v>0</v>
      </c>
      <c r="I193" s="31">
        <f>'октябрь 2014г. по 6-10'!I193+'октябрь 2014г. по 0,4'!I190</f>
        <v>0</v>
      </c>
      <c r="J193" s="31">
        <f>'октябрь 2014г. по 6-10'!J193+'октябрь 2014г. по 0,4'!J190</f>
        <v>0</v>
      </c>
      <c r="K193" s="31">
        <f>'октябрь 2014г. по 6-10'!K193+'октябрь 2014г. по 0,4'!K190</f>
        <v>0</v>
      </c>
      <c r="L193" s="31">
        <f>'октябрь 2014г. по 6-10'!L193+'октябрь 2014г. по 0,4'!L190</f>
        <v>0</v>
      </c>
      <c r="M193" s="31">
        <f>'октябрь 2014г. по 6-10'!M193+'октябрь 2014г. по 0,4'!M190</f>
        <v>0</v>
      </c>
      <c r="N193" s="31">
        <f>'октябрь 2014г. по 6-10'!N193+'октябрь 2014г. по 0,4'!N190</f>
        <v>0</v>
      </c>
      <c r="O193" s="31">
        <f>'октябрь 2014г. по 6-10'!O193+'октябрь 2014г. по 0,4'!O190</f>
        <v>0</v>
      </c>
      <c r="P193" s="31">
        <f>'октябрь 2014г. по 6-10'!P193+'октябрь 2014г. по 0,4'!P190</f>
        <v>0</v>
      </c>
      <c r="Q193" s="31">
        <f>'октябрь 2014г. по 6-10'!Q193+'октябрь 2014г. по 0,4'!Q190</f>
        <v>0</v>
      </c>
    </row>
    <row r="194" spans="1:17" ht="12.75" customHeight="1" x14ac:dyDescent="0.2">
      <c r="A194" s="18"/>
      <c r="B194" s="53"/>
      <c r="C194" s="50" t="s">
        <v>258</v>
      </c>
      <c r="D194" s="31">
        <f>'октябрь 2014г. по 6-10'!D194+'октябрь 2014г. по 0,4'!D191</f>
        <v>4</v>
      </c>
      <c r="E194" s="31">
        <f>'октябрь 2014г. по 6-10'!E194+'октябрь 2014г. по 0,4'!E191</f>
        <v>30</v>
      </c>
      <c r="F194" s="31">
        <f>'октябрь 2014г. по 6-10'!F194+'октябрь 2014г. по 0,4'!F191</f>
        <v>4</v>
      </c>
      <c r="G194" s="31">
        <f>'октябрь 2014г. по 6-10'!G194+'октябрь 2014г. по 0,4'!G191</f>
        <v>30</v>
      </c>
      <c r="H194" s="31">
        <f>'октябрь 2014г. по 6-10'!H194+'октябрь 2014г. по 0,4'!H191</f>
        <v>0</v>
      </c>
      <c r="I194" s="31">
        <f>'октябрь 2014г. по 6-10'!I194+'октябрь 2014г. по 0,4'!I191</f>
        <v>0</v>
      </c>
      <c r="J194" s="31">
        <f>'октябрь 2014г. по 6-10'!J194+'октябрь 2014г. по 0,4'!J191</f>
        <v>0</v>
      </c>
      <c r="K194" s="31">
        <f>'октябрь 2014г. по 6-10'!K194+'октябрь 2014г. по 0,4'!K191</f>
        <v>0</v>
      </c>
      <c r="L194" s="31">
        <f>'октябрь 2014г. по 6-10'!L194+'октябрь 2014г. по 0,4'!L191</f>
        <v>0</v>
      </c>
      <c r="M194" s="31">
        <f>'октябрь 2014г. по 6-10'!M194+'октябрь 2014г. по 0,4'!M191</f>
        <v>0</v>
      </c>
      <c r="N194" s="31">
        <f>'октябрь 2014г. по 6-10'!N194+'октябрь 2014г. по 0,4'!N191</f>
        <v>0</v>
      </c>
      <c r="O194" s="31">
        <f>'октябрь 2014г. по 6-10'!O194+'октябрь 2014г. по 0,4'!O191</f>
        <v>0</v>
      </c>
      <c r="P194" s="31">
        <f>'октябрь 2014г. по 6-10'!P194+'октябрь 2014г. по 0,4'!P191</f>
        <v>0</v>
      </c>
      <c r="Q194" s="31">
        <f>'октябрь 2014г. по 6-10'!Q194+'октябрь 2014г. по 0,4'!Q191</f>
        <v>0</v>
      </c>
    </row>
    <row r="195" spans="1:17" ht="12.75" customHeight="1" x14ac:dyDescent="0.2">
      <c r="A195" s="18"/>
      <c r="B195" s="53"/>
      <c r="C195" s="20" t="s">
        <v>30</v>
      </c>
      <c r="D195" s="88">
        <f>SUM(D187:D194)</f>
        <v>171</v>
      </c>
      <c r="E195" s="88">
        <f t="shared" ref="E195:Q195" si="4">SUM(E187:E194)</f>
        <v>787</v>
      </c>
      <c r="F195" s="88">
        <f t="shared" si="4"/>
        <v>71</v>
      </c>
      <c r="G195" s="88">
        <f t="shared" si="4"/>
        <v>408</v>
      </c>
      <c r="H195" s="88">
        <f t="shared" si="4"/>
        <v>0</v>
      </c>
      <c r="I195" s="88">
        <f t="shared" si="4"/>
        <v>0</v>
      </c>
      <c r="J195" s="88">
        <f t="shared" si="4"/>
        <v>28</v>
      </c>
      <c r="K195" s="88">
        <f t="shared" si="4"/>
        <v>190</v>
      </c>
      <c r="L195" s="88">
        <f t="shared" si="4"/>
        <v>0</v>
      </c>
      <c r="M195" s="88">
        <f t="shared" si="4"/>
        <v>0</v>
      </c>
      <c r="N195" s="88">
        <f t="shared" si="4"/>
        <v>0</v>
      </c>
      <c r="O195" s="88">
        <f t="shared" si="4"/>
        <v>0</v>
      </c>
      <c r="P195" s="88">
        <f t="shared" si="4"/>
        <v>0</v>
      </c>
      <c r="Q195" s="88">
        <f t="shared" si="4"/>
        <v>0</v>
      </c>
    </row>
    <row r="196" spans="1:17" ht="15" x14ac:dyDescent="0.25">
      <c r="A196" s="18"/>
      <c r="B196" s="53"/>
      <c r="C196" s="60" t="s">
        <v>265</v>
      </c>
      <c r="D196" s="31"/>
      <c r="E196" s="31"/>
      <c r="F196" s="31"/>
      <c r="G196" s="31"/>
      <c r="H196" s="47"/>
      <c r="I196" s="47"/>
      <c r="J196" s="31"/>
      <c r="K196" s="31"/>
      <c r="L196" s="8"/>
      <c r="M196" s="8"/>
      <c r="N196" s="8"/>
      <c r="O196" s="8"/>
      <c r="P196" s="8"/>
      <c r="Q196" s="8"/>
    </row>
    <row r="197" spans="1:17" ht="12.75" customHeight="1" x14ac:dyDescent="0.2">
      <c r="A197" s="18"/>
      <c r="B197" s="53"/>
      <c r="C197" s="50" t="s">
        <v>260</v>
      </c>
      <c r="D197" s="31">
        <f>'октябрь 2014г. по 6-10'!D197+'октябрь 2014г. по 0,4'!D194</f>
        <v>23</v>
      </c>
      <c r="E197" s="31">
        <f>'октябрь 2014г. по 6-10'!E197+'октябрь 2014г. по 0,4'!E194</f>
        <v>452</v>
      </c>
      <c r="F197" s="31">
        <f>'октябрь 2014г. по 6-10'!F197+'октябрь 2014г. по 0,4'!F194</f>
        <v>7</v>
      </c>
      <c r="G197" s="31">
        <f>'октябрь 2014г. по 6-10'!G197+'октябрь 2014г. по 0,4'!G194</f>
        <v>322</v>
      </c>
      <c r="H197" s="31">
        <f>'октябрь 2014г. по 6-10'!H197+'октябрь 2014г. по 0,4'!H194</f>
        <v>0</v>
      </c>
      <c r="I197" s="31">
        <f>'октябрь 2014г. по 6-10'!I197+'октябрь 2014г. по 0,4'!I194</f>
        <v>0</v>
      </c>
      <c r="J197" s="31">
        <f>'октябрь 2014г. по 6-10'!J197+'октябрь 2014г. по 0,4'!J194</f>
        <v>13</v>
      </c>
      <c r="K197" s="31">
        <f>'октябрь 2014г. по 6-10'!K197+'октябрь 2014г. по 0,4'!K194</f>
        <v>98</v>
      </c>
      <c r="L197" s="31">
        <f>'октябрь 2014г. по 6-10'!L197+'октябрь 2014г. по 0,4'!L194</f>
        <v>0</v>
      </c>
      <c r="M197" s="31">
        <f>'октябрь 2014г. по 6-10'!M197+'октябрь 2014г. по 0,4'!M194</f>
        <v>0</v>
      </c>
      <c r="N197" s="31">
        <f>'октябрь 2014г. по 6-10'!N197+'октябрь 2014г. по 0,4'!N194</f>
        <v>0</v>
      </c>
      <c r="O197" s="31">
        <f>'октябрь 2014г. по 6-10'!O197+'октябрь 2014г. по 0,4'!O194</f>
        <v>0</v>
      </c>
      <c r="P197" s="31">
        <f>'октябрь 2014г. по 6-10'!P197+'октябрь 2014г. по 0,4'!P194</f>
        <v>0</v>
      </c>
      <c r="Q197" s="31">
        <f>'октябрь 2014г. по 6-10'!Q197+'октябрь 2014г. по 0,4'!Q194</f>
        <v>0</v>
      </c>
    </row>
    <row r="198" spans="1:17" ht="12.75" customHeight="1" x14ac:dyDescent="0.2">
      <c r="A198" s="18"/>
      <c r="B198" s="53"/>
      <c r="C198" s="50" t="s">
        <v>261</v>
      </c>
      <c r="D198" s="31">
        <f>'октябрь 2014г. по 6-10'!D198+'октябрь 2014г. по 0,4'!D195</f>
        <v>5</v>
      </c>
      <c r="E198" s="31">
        <f>'октябрь 2014г. по 6-10'!E198+'октябрь 2014г. по 0,4'!E195</f>
        <v>20</v>
      </c>
      <c r="F198" s="31">
        <f>'октябрь 2014г. по 6-10'!F198+'октябрь 2014г. по 0,4'!F195</f>
        <v>4</v>
      </c>
      <c r="G198" s="31">
        <f>'октябрь 2014г. по 6-10'!G198+'октябрь 2014г. по 0,4'!G195</f>
        <v>20</v>
      </c>
      <c r="H198" s="31">
        <f>'октябрь 2014г. по 6-10'!H198+'октябрь 2014г. по 0,4'!H195</f>
        <v>0</v>
      </c>
      <c r="I198" s="31">
        <f>'октябрь 2014г. по 6-10'!I198+'октябрь 2014г. по 0,4'!I195</f>
        <v>0</v>
      </c>
      <c r="J198" s="31">
        <f>'октябрь 2014г. по 6-10'!J198+'октябрь 2014г. по 0,4'!J195</f>
        <v>0</v>
      </c>
      <c r="K198" s="31">
        <f>'октябрь 2014г. по 6-10'!K198+'октябрь 2014г. по 0,4'!K195</f>
        <v>0</v>
      </c>
      <c r="L198" s="31">
        <f>'октябрь 2014г. по 6-10'!L198+'октябрь 2014г. по 0,4'!L195</f>
        <v>0</v>
      </c>
      <c r="M198" s="31">
        <f>'октябрь 2014г. по 6-10'!M198+'октябрь 2014г. по 0,4'!M195</f>
        <v>0</v>
      </c>
      <c r="N198" s="31">
        <f>'октябрь 2014г. по 6-10'!N198+'октябрь 2014г. по 0,4'!N195</f>
        <v>0</v>
      </c>
      <c r="O198" s="31">
        <f>'октябрь 2014г. по 6-10'!O198+'октябрь 2014г. по 0,4'!O195</f>
        <v>0</v>
      </c>
      <c r="P198" s="31">
        <f>'октябрь 2014г. по 6-10'!P198+'октябрь 2014г. по 0,4'!P195</f>
        <v>0</v>
      </c>
      <c r="Q198" s="31">
        <f>'октябрь 2014г. по 6-10'!Q198+'октябрь 2014г. по 0,4'!Q195</f>
        <v>0</v>
      </c>
    </row>
    <row r="199" spans="1:17" ht="12.75" customHeight="1" x14ac:dyDescent="0.2">
      <c r="A199" s="18"/>
      <c r="B199" s="53"/>
      <c r="C199" s="50" t="s">
        <v>262</v>
      </c>
      <c r="D199" s="31">
        <f>'октябрь 2014г. по 6-10'!D199+'октябрь 2014г. по 0,4'!D196</f>
        <v>6</v>
      </c>
      <c r="E199" s="31">
        <f>'октябрь 2014г. по 6-10'!E199+'октябрь 2014г. по 0,4'!E196</f>
        <v>445</v>
      </c>
      <c r="F199" s="31">
        <f>'октябрь 2014г. по 6-10'!F199+'октябрь 2014г. по 0,4'!F196</f>
        <v>1</v>
      </c>
      <c r="G199" s="31">
        <f>'октябрь 2014г. по 6-10'!G199+'октябрь 2014г. по 0,4'!G196</f>
        <v>30</v>
      </c>
      <c r="H199" s="31">
        <f>'октябрь 2014г. по 6-10'!H199+'октябрь 2014г. по 0,4'!H196</f>
        <v>0</v>
      </c>
      <c r="I199" s="31">
        <f>'октябрь 2014г. по 6-10'!I199+'октябрь 2014г. по 0,4'!I196</f>
        <v>0</v>
      </c>
      <c r="J199" s="31">
        <f>'октябрь 2014г. по 6-10'!J199+'октябрь 2014г. по 0,4'!J196</f>
        <v>0</v>
      </c>
      <c r="K199" s="31">
        <f>'октябрь 2014г. по 6-10'!K199+'октябрь 2014г. по 0,4'!K196</f>
        <v>0</v>
      </c>
      <c r="L199" s="31">
        <f>'октябрь 2014г. по 6-10'!L199+'октябрь 2014г. по 0,4'!L196</f>
        <v>0</v>
      </c>
      <c r="M199" s="31">
        <f>'октябрь 2014г. по 6-10'!M199+'октябрь 2014г. по 0,4'!M196</f>
        <v>0</v>
      </c>
      <c r="N199" s="31">
        <f>'октябрь 2014г. по 6-10'!N199+'октябрь 2014г. по 0,4'!N196</f>
        <v>0</v>
      </c>
      <c r="O199" s="31">
        <f>'октябрь 2014г. по 6-10'!O199+'октябрь 2014г. по 0,4'!O196</f>
        <v>0</v>
      </c>
      <c r="P199" s="31">
        <f>'октябрь 2014г. по 6-10'!P199+'октябрь 2014г. по 0,4'!P196</f>
        <v>0</v>
      </c>
      <c r="Q199" s="31">
        <f>'октябрь 2014г. по 6-10'!Q199+'октябрь 2014г. по 0,4'!Q196</f>
        <v>0</v>
      </c>
    </row>
    <row r="200" spans="1:17" ht="12.75" customHeight="1" x14ac:dyDescent="0.2">
      <c r="A200" s="18"/>
      <c r="B200" s="53"/>
      <c r="C200" s="50" t="s">
        <v>263</v>
      </c>
      <c r="D200" s="31">
        <f>'октябрь 2014г. по 6-10'!D200+'октябрь 2014г. по 0,4'!D197</f>
        <v>9</v>
      </c>
      <c r="E200" s="31">
        <f>'октябрь 2014г. по 6-10'!E200+'октябрь 2014г. по 0,4'!E197</f>
        <v>35</v>
      </c>
      <c r="F200" s="31">
        <f>'октябрь 2014г. по 6-10'!F200+'октябрь 2014г. по 0,4'!F197</f>
        <v>5</v>
      </c>
      <c r="G200" s="31">
        <f>'октябрь 2014г. по 6-10'!G200+'октябрь 2014г. по 0,4'!G197</f>
        <v>20</v>
      </c>
      <c r="H200" s="31">
        <f>'октябрь 2014г. по 6-10'!H200+'октябрь 2014г. по 0,4'!H197</f>
        <v>0</v>
      </c>
      <c r="I200" s="31">
        <f>'октябрь 2014г. по 6-10'!I200+'октябрь 2014г. по 0,4'!I197</f>
        <v>0</v>
      </c>
      <c r="J200" s="31">
        <f>'октябрь 2014г. по 6-10'!J200+'октябрь 2014г. по 0,4'!J197</f>
        <v>0</v>
      </c>
      <c r="K200" s="31">
        <f>'октябрь 2014г. по 6-10'!K200+'октябрь 2014г. по 0,4'!K197</f>
        <v>0</v>
      </c>
      <c r="L200" s="31">
        <f>'октябрь 2014г. по 6-10'!L200+'октябрь 2014г. по 0,4'!L197</f>
        <v>0</v>
      </c>
      <c r="M200" s="31">
        <f>'октябрь 2014г. по 6-10'!M200+'октябрь 2014г. по 0,4'!M197</f>
        <v>0</v>
      </c>
      <c r="N200" s="31">
        <f>'октябрь 2014г. по 6-10'!N200+'октябрь 2014г. по 0,4'!N197</f>
        <v>0</v>
      </c>
      <c r="O200" s="31">
        <f>'октябрь 2014г. по 6-10'!O200+'октябрь 2014г. по 0,4'!O197</f>
        <v>0</v>
      </c>
      <c r="P200" s="31">
        <f>'октябрь 2014г. по 6-10'!P200+'октябрь 2014г. по 0,4'!P197</f>
        <v>0</v>
      </c>
      <c r="Q200" s="31">
        <f>'октябрь 2014г. по 6-10'!Q200+'октябрь 2014г. по 0,4'!Q197</f>
        <v>0</v>
      </c>
    </row>
    <row r="201" spans="1:17" ht="12.75" customHeight="1" x14ac:dyDescent="0.2">
      <c r="A201" s="18"/>
      <c r="B201" s="53"/>
      <c r="C201" s="50" t="s">
        <v>264</v>
      </c>
      <c r="D201" s="31">
        <f>'октябрь 2014г. по 6-10'!D201+'октябрь 2014г. по 0,4'!D198</f>
        <v>6</v>
      </c>
      <c r="E201" s="31">
        <f>'октябрь 2014г. по 6-10'!E201+'октябрь 2014г. по 0,4'!E198</f>
        <v>563</v>
      </c>
      <c r="F201" s="31">
        <f>'октябрь 2014г. по 6-10'!F201+'октябрь 2014г. по 0,4'!F198</f>
        <v>3</v>
      </c>
      <c r="G201" s="31">
        <f>'октябрь 2014г. по 6-10'!G201+'октябрь 2014г. по 0,4'!G198</f>
        <v>28</v>
      </c>
      <c r="H201" s="31">
        <f>'октябрь 2014г. по 6-10'!H201+'октябрь 2014г. по 0,4'!H198</f>
        <v>0</v>
      </c>
      <c r="I201" s="31">
        <f>'октябрь 2014г. по 6-10'!I201+'октябрь 2014г. по 0,4'!I198</f>
        <v>0</v>
      </c>
      <c r="J201" s="31">
        <f>'октябрь 2014г. по 6-10'!J201+'октябрь 2014г. по 0,4'!J198</f>
        <v>9</v>
      </c>
      <c r="K201" s="31">
        <f>'октябрь 2014г. по 6-10'!K201+'октябрь 2014г. по 0,4'!K198</f>
        <v>82</v>
      </c>
      <c r="L201" s="31">
        <f>'октябрь 2014г. по 6-10'!L201+'октябрь 2014г. по 0,4'!L198</f>
        <v>0</v>
      </c>
      <c r="M201" s="31">
        <f>'октябрь 2014г. по 6-10'!M201+'октябрь 2014г. по 0,4'!M198</f>
        <v>0</v>
      </c>
      <c r="N201" s="31">
        <f>'октябрь 2014г. по 6-10'!N201+'октябрь 2014г. по 0,4'!N198</f>
        <v>0</v>
      </c>
      <c r="O201" s="31">
        <f>'октябрь 2014г. по 6-10'!O201+'октябрь 2014г. по 0,4'!O198</f>
        <v>0</v>
      </c>
      <c r="P201" s="31">
        <f>'октябрь 2014г. по 6-10'!P201+'октябрь 2014г. по 0,4'!P198</f>
        <v>0</v>
      </c>
      <c r="Q201" s="31">
        <f>'октябрь 2014г. по 6-10'!Q201+'октябрь 2014г. по 0,4'!Q198</f>
        <v>0</v>
      </c>
    </row>
    <row r="202" spans="1:17" ht="12.75" customHeight="1" x14ac:dyDescent="0.2">
      <c r="A202" s="18"/>
      <c r="B202" s="18"/>
      <c r="C202" s="89" t="s">
        <v>30</v>
      </c>
      <c r="D202" s="88">
        <f t="shared" ref="D202:Q202" si="5">SUM(D197:D201)</f>
        <v>49</v>
      </c>
      <c r="E202" s="88">
        <f t="shared" si="5"/>
        <v>1515</v>
      </c>
      <c r="F202" s="88">
        <f t="shared" si="5"/>
        <v>20</v>
      </c>
      <c r="G202" s="88">
        <f t="shared" si="5"/>
        <v>420</v>
      </c>
      <c r="H202" s="88">
        <f t="shared" si="5"/>
        <v>0</v>
      </c>
      <c r="I202" s="88">
        <f t="shared" si="5"/>
        <v>0</v>
      </c>
      <c r="J202" s="88">
        <f t="shared" si="5"/>
        <v>22</v>
      </c>
      <c r="K202" s="88">
        <f t="shared" si="5"/>
        <v>180</v>
      </c>
      <c r="L202" s="88">
        <f t="shared" si="5"/>
        <v>0</v>
      </c>
      <c r="M202" s="88">
        <f t="shared" si="5"/>
        <v>0</v>
      </c>
      <c r="N202" s="88">
        <f t="shared" si="5"/>
        <v>0</v>
      </c>
      <c r="O202" s="88">
        <f t="shared" si="5"/>
        <v>0</v>
      </c>
      <c r="P202" s="88">
        <f t="shared" si="5"/>
        <v>0</v>
      </c>
      <c r="Q202" s="88">
        <f t="shared" si="5"/>
        <v>0</v>
      </c>
    </row>
    <row r="203" spans="1:17" ht="15" x14ac:dyDescent="0.25">
      <c r="A203" s="18"/>
      <c r="B203" s="18"/>
      <c r="C203" s="51" t="s">
        <v>305</v>
      </c>
      <c r="D203" s="31"/>
      <c r="E203" s="31"/>
      <c r="F203" s="31"/>
      <c r="G203" s="31"/>
      <c r="H203" s="47"/>
      <c r="I203" s="47"/>
      <c r="J203" s="31"/>
      <c r="K203" s="31"/>
      <c r="L203" s="8"/>
      <c r="M203" s="8"/>
      <c r="N203" s="8"/>
      <c r="O203" s="8"/>
      <c r="P203" s="8"/>
      <c r="Q203" s="8"/>
    </row>
    <row r="204" spans="1:17" ht="12.75" customHeight="1" x14ac:dyDescent="0.2">
      <c r="A204" s="18"/>
      <c r="B204" s="53"/>
      <c r="C204" s="50" t="s">
        <v>266</v>
      </c>
      <c r="D204" s="31">
        <f>'октябрь 2014г. по 6-10'!D204+'октябрь 2014г. по 0,4'!D201</f>
        <v>26</v>
      </c>
      <c r="E204" s="31">
        <f>'октябрь 2014г. по 6-10'!E204+'октябрь 2014г. по 0,4'!E201</f>
        <v>426</v>
      </c>
      <c r="F204" s="31">
        <f>'октябрь 2014г. по 6-10'!F204+'октябрь 2014г. по 0,4'!F201</f>
        <v>1</v>
      </c>
      <c r="G204" s="31">
        <f>'октябрь 2014г. по 6-10'!G204+'октябрь 2014г. по 0,4'!G201</f>
        <v>5</v>
      </c>
      <c r="H204" s="31">
        <f>'октябрь 2014г. по 6-10'!H204+'октябрь 2014г. по 0,4'!H201</f>
        <v>0</v>
      </c>
      <c r="I204" s="31">
        <f>'октябрь 2014г. по 6-10'!I204+'октябрь 2014г. по 0,4'!I201</f>
        <v>0</v>
      </c>
      <c r="J204" s="31">
        <f>'октябрь 2014г. по 6-10'!J204+'октябрь 2014г. по 0,4'!J201</f>
        <v>53</v>
      </c>
      <c r="K204" s="31">
        <f>'октябрь 2014г. по 6-10'!K204+'октябрь 2014г. по 0,4'!K201</f>
        <v>570</v>
      </c>
      <c r="L204" s="31">
        <f>'октябрь 2014г. по 6-10'!L204+'октябрь 2014г. по 0,4'!L201</f>
        <v>0</v>
      </c>
      <c r="M204" s="31">
        <f>'октябрь 2014г. по 6-10'!M204+'октябрь 2014г. по 0,4'!M201</f>
        <v>0</v>
      </c>
      <c r="N204" s="31">
        <f>'октябрь 2014г. по 6-10'!N204+'октябрь 2014г. по 0,4'!N201</f>
        <v>0</v>
      </c>
      <c r="O204" s="31">
        <f>'октябрь 2014г. по 6-10'!O204+'октябрь 2014г. по 0,4'!O201</f>
        <v>0</v>
      </c>
      <c r="P204" s="31">
        <f>'октябрь 2014г. по 6-10'!P204+'октябрь 2014г. по 0,4'!P201</f>
        <v>0</v>
      </c>
      <c r="Q204" s="31">
        <f>'октябрь 2014г. по 6-10'!Q204+'октябрь 2014г. по 0,4'!Q201</f>
        <v>0</v>
      </c>
    </row>
    <row r="205" spans="1:17" ht="12.75" customHeight="1" x14ac:dyDescent="0.2">
      <c r="A205" s="18"/>
      <c r="B205" s="53"/>
      <c r="C205" s="50" t="s">
        <v>267</v>
      </c>
      <c r="D205" s="31">
        <f>'октябрь 2014г. по 6-10'!D205+'октябрь 2014г. по 0,4'!D202</f>
        <v>0</v>
      </c>
      <c r="E205" s="31">
        <f>'октябрь 2014г. по 6-10'!E205+'октябрь 2014г. по 0,4'!E202</f>
        <v>0</v>
      </c>
      <c r="F205" s="31">
        <f>'октябрь 2014г. по 6-10'!F205+'октябрь 2014г. по 0,4'!F202</f>
        <v>0</v>
      </c>
      <c r="G205" s="31">
        <f>'октябрь 2014г. по 6-10'!G205+'октябрь 2014г. по 0,4'!G202</f>
        <v>0</v>
      </c>
      <c r="H205" s="31">
        <f>'октябрь 2014г. по 6-10'!H205+'октябрь 2014г. по 0,4'!H202</f>
        <v>0</v>
      </c>
      <c r="I205" s="31">
        <f>'октябрь 2014г. по 6-10'!I205+'октябрь 2014г. по 0,4'!I202</f>
        <v>0</v>
      </c>
      <c r="J205" s="31">
        <f>'октябрь 2014г. по 6-10'!J205+'октябрь 2014г. по 0,4'!J202</f>
        <v>0</v>
      </c>
      <c r="K205" s="31">
        <f>'октябрь 2014г. по 6-10'!K205+'октябрь 2014г. по 0,4'!K202</f>
        <v>0</v>
      </c>
      <c r="L205" s="31">
        <f>'октябрь 2014г. по 6-10'!L205+'октябрь 2014г. по 0,4'!L202</f>
        <v>0</v>
      </c>
      <c r="M205" s="31">
        <f>'октябрь 2014г. по 6-10'!M205+'октябрь 2014г. по 0,4'!M202</f>
        <v>0</v>
      </c>
      <c r="N205" s="31">
        <f>'октябрь 2014г. по 6-10'!N205+'октябрь 2014г. по 0,4'!N202</f>
        <v>0</v>
      </c>
      <c r="O205" s="31">
        <f>'октябрь 2014г. по 6-10'!O205+'октябрь 2014г. по 0,4'!O202</f>
        <v>0</v>
      </c>
      <c r="P205" s="31">
        <f>'октябрь 2014г. по 6-10'!P205+'октябрь 2014г. по 0,4'!P202</f>
        <v>0</v>
      </c>
      <c r="Q205" s="31">
        <f>'октябрь 2014г. по 6-10'!Q205+'октябрь 2014г. по 0,4'!Q202</f>
        <v>0</v>
      </c>
    </row>
    <row r="206" spans="1:17" ht="12.75" customHeight="1" x14ac:dyDescent="0.2">
      <c r="A206" s="18"/>
      <c r="B206" s="53"/>
      <c r="C206" s="57" t="s">
        <v>268</v>
      </c>
      <c r="D206" s="31">
        <f>'октябрь 2014г. по 6-10'!D206+'октябрь 2014г. по 0,4'!D203</f>
        <v>30</v>
      </c>
      <c r="E206" s="31">
        <f>'октябрь 2014г. по 6-10'!E206+'октябрь 2014г. по 0,4'!E203</f>
        <v>120</v>
      </c>
      <c r="F206" s="31">
        <f>'октябрь 2014г. по 6-10'!F206+'октябрь 2014г. по 0,4'!F203</f>
        <v>1</v>
      </c>
      <c r="G206" s="31">
        <f>'октябрь 2014г. по 6-10'!G206+'октябрь 2014г. по 0,4'!G203</f>
        <v>7</v>
      </c>
      <c r="H206" s="31">
        <f>'октябрь 2014г. по 6-10'!H206+'октябрь 2014г. по 0,4'!H203</f>
        <v>0</v>
      </c>
      <c r="I206" s="31">
        <f>'октябрь 2014г. по 6-10'!I206+'октябрь 2014г. по 0,4'!I203</f>
        <v>0</v>
      </c>
      <c r="J206" s="31">
        <f>'октябрь 2014г. по 6-10'!J206+'октябрь 2014г. по 0,4'!J203</f>
        <v>16</v>
      </c>
      <c r="K206" s="31">
        <f>'октябрь 2014г. по 6-10'!K206+'октябрь 2014г. по 0,4'!K203</f>
        <v>145</v>
      </c>
      <c r="L206" s="31">
        <f>'октябрь 2014г. по 6-10'!L206+'октябрь 2014г. по 0,4'!L203</f>
        <v>0</v>
      </c>
      <c r="M206" s="31">
        <f>'октябрь 2014г. по 6-10'!M206+'октябрь 2014г. по 0,4'!M203</f>
        <v>0</v>
      </c>
      <c r="N206" s="31">
        <f>'октябрь 2014г. по 6-10'!N206+'октябрь 2014г. по 0,4'!N203</f>
        <v>0</v>
      </c>
      <c r="O206" s="31">
        <f>'октябрь 2014г. по 6-10'!O206+'октябрь 2014г. по 0,4'!O203</f>
        <v>0</v>
      </c>
      <c r="P206" s="31">
        <f>'октябрь 2014г. по 6-10'!P206+'октябрь 2014г. по 0,4'!P203</f>
        <v>0</v>
      </c>
      <c r="Q206" s="31">
        <f>'октябрь 2014г. по 6-10'!Q206+'октябрь 2014г. по 0,4'!Q203</f>
        <v>0</v>
      </c>
    </row>
    <row r="207" spans="1:17" ht="12.75" customHeight="1" x14ac:dyDescent="0.2">
      <c r="A207" s="18"/>
      <c r="B207" s="53"/>
      <c r="C207" s="50" t="s">
        <v>269</v>
      </c>
      <c r="D207" s="31">
        <f>'октябрь 2014г. по 6-10'!D207+'октябрь 2014г. по 0,4'!D204</f>
        <v>0</v>
      </c>
      <c r="E207" s="31">
        <f>'октябрь 2014г. по 6-10'!E207+'октябрь 2014г. по 0,4'!E204</f>
        <v>0</v>
      </c>
      <c r="F207" s="31">
        <f>'октябрь 2014г. по 6-10'!F207+'октябрь 2014г. по 0,4'!F204</f>
        <v>0</v>
      </c>
      <c r="G207" s="31">
        <f>'октябрь 2014г. по 6-10'!G207+'октябрь 2014г. по 0,4'!G204</f>
        <v>0</v>
      </c>
      <c r="H207" s="31">
        <f>'октябрь 2014г. по 6-10'!H207+'октябрь 2014г. по 0,4'!H204</f>
        <v>0</v>
      </c>
      <c r="I207" s="31">
        <f>'октябрь 2014г. по 6-10'!I207+'октябрь 2014г. по 0,4'!I204</f>
        <v>0</v>
      </c>
      <c r="J207" s="31">
        <f>'октябрь 2014г. по 6-10'!J207+'октябрь 2014г. по 0,4'!J204</f>
        <v>0</v>
      </c>
      <c r="K207" s="31">
        <f>'октябрь 2014г. по 6-10'!K207+'октябрь 2014г. по 0,4'!K204</f>
        <v>0</v>
      </c>
      <c r="L207" s="31">
        <f>'октябрь 2014г. по 6-10'!L207+'октябрь 2014г. по 0,4'!L204</f>
        <v>0</v>
      </c>
      <c r="M207" s="31">
        <f>'октябрь 2014г. по 6-10'!M207+'октябрь 2014г. по 0,4'!M204</f>
        <v>0</v>
      </c>
      <c r="N207" s="31">
        <f>'октябрь 2014г. по 6-10'!N207+'октябрь 2014г. по 0,4'!N204</f>
        <v>0</v>
      </c>
      <c r="O207" s="31">
        <f>'октябрь 2014г. по 6-10'!O207+'октябрь 2014г. по 0,4'!O204</f>
        <v>0</v>
      </c>
      <c r="P207" s="31">
        <f>'октябрь 2014г. по 6-10'!P207+'октябрь 2014г. по 0,4'!P204</f>
        <v>0</v>
      </c>
      <c r="Q207" s="31">
        <f>'октябрь 2014г. по 6-10'!Q207+'октябрь 2014г. по 0,4'!Q204</f>
        <v>0</v>
      </c>
    </row>
    <row r="208" spans="1:17" ht="12.75" customHeight="1" x14ac:dyDescent="0.2">
      <c r="A208" s="18"/>
      <c r="B208" s="53"/>
      <c r="C208" s="50" t="s">
        <v>270</v>
      </c>
      <c r="D208" s="31">
        <f>'октябрь 2014г. по 6-10'!D208+'октябрь 2014г. по 0,4'!D205</f>
        <v>49</v>
      </c>
      <c r="E208" s="31">
        <f>'октябрь 2014г. по 6-10'!E208+'октябрь 2014г. по 0,4'!E205</f>
        <v>4104</v>
      </c>
      <c r="F208" s="31">
        <f>'октябрь 2014г. по 6-10'!F208+'октябрь 2014г. по 0,4'!F205</f>
        <v>19</v>
      </c>
      <c r="G208" s="31">
        <f>'октябрь 2014г. по 6-10'!G208+'октябрь 2014г. по 0,4'!G205</f>
        <v>142</v>
      </c>
      <c r="H208" s="31">
        <f>'октябрь 2014г. по 6-10'!H208+'октябрь 2014г. по 0,4'!H205</f>
        <v>0</v>
      </c>
      <c r="I208" s="31">
        <f>'октябрь 2014г. по 6-10'!I208+'октябрь 2014г. по 0,4'!I205</f>
        <v>0</v>
      </c>
      <c r="J208" s="31">
        <f>'октябрь 2014г. по 6-10'!J208+'октябрь 2014г. по 0,4'!J205</f>
        <v>38</v>
      </c>
      <c r="K208" s="31">
        <f>'октябрь 2014г. по 6-10'!K208+'октябрь 2014г. по 0,4'!K205</f>
        <v>365</v>
      </c>
      <c r="L208" s="31">
        <f>'октябрь 2014г. по 6-10'!L208+'октябрь 2014г. по 0,4'!L205</f>
        <v>0</v>
      </c>
      <c r="M208" s="31">
        <f>'октябрь 2014г. по 6-10'!M208+'октябрь 2014г. по 0,4'!M205</f>
        <v>0</v>
      </c>
      <c r="N208" s="31">
        <f>'октябрь 2014г. по 6-10'!N208+'октябрь 2014г. по 0,4'!N205</f>
        <v>0</v>
      </c>
      <c r="O208" s="31">
        <f>'октябрь 2014г. по 6-10'!O208+'октябрь 2014г. по 0,4'!O205</f>
        <v>0</v>
      </c>
      <c r="P208" s="31">
        <f>'октябрь 2014г. по 6-10'!P208+'октябрь 2014г. по 0,4'!P205</f>
        <v>0</v>
      </c>
      <c r="Q208" s="31">
        <f>'октябрь 2014г. по 6-10'!Q208+'октябрь 2014г. по 0,4'!Q205</f>
        <v>0</v>
      </c>
    </row>
    <row r="209" spans="1:17" ht="12.75" customHeight="1" x14ac:dyDescent="0.2">
      <c r="A209" s="18"/>
      <c r="B209" s="53"/>
      <c r="C209" s="50" t="s">
        <v>271</v>
      </c>
      <c r="D209" s="31">
        <f>'октябрь 2014г. по 6-10'!D209+'октябрь 2014г. по 0,4'!D206</f>
        <v>8</v>
      </c>
      <c r="E209" s="31">
        <f>'октябрь 2014г. по 6-10'!E209+'октябрь 2014г. по 0,4'!E206</f>
        <v>55</v>
      </c>
      <c r="F209" s="31">
        <f>'октябрь 2014г. по 6-10'!F209+'октябрь 2014г. по 0,4'!F206</f>
        <v>8</v>
      </c>
      <c r="G209" s="31">
        <f>'октябрь 2014г. по 6-10'!G209+'октябрь 2014г. по 0,4'!G206</f>
        <v>55</v>
      </c>
      <c r="H209" s="31">
        <f>'октябрь 2014г. по 6-10'!H209+'октябрь 2014г. по 0,4'!H206</f>
        <v>0</v>
      </c>
      <c r="I209" s="31">
        <f>'октябрь 2014г. по 6-10'!I209+'октябрь 2014г. по 0,4'!I206</f>
        <v>0</v>
      </c>
      <c r="J209" s="31">
        <f>'октябрь 2014г. по 6-10'!J209+'октябрь 2014г. по 0,4'!J206</f>
        <v>0</v>
      </c>
      <c r="K209" s="31">
        <f>'октябрь 2014г. по 6-10'!K209+'октябрь 2014г. по 0,4'!K206</f>
        <v>0</v>
      </c>
      <c r="L209" s="31">
        <f>'октябрь 2014г. по 6-10'!L209+'октябрь 2014г. по 0,4'!L206</f>
        <v>0</v>
      </c>
      <c r="M209" s="31">
        <f>'октябрь 2014г. по 6-10'!M209+'октябрь 2014г. по 0,4'!M206</f>
        <v>0</v>
      </c>
      <c r="N209" s="31">
        <f>'октябрь 2014г. по 6-10'!N209+'октябрь 2014г. по 0,4'!N206</f>
        <v>0</v>
      </c>
      <c r="O209" s="31">
        <f>'октябрь 2014г. по 6-10'!O209+'октябрь 2014г. по 0,4'!O206</f>
        <v>0</v>
      </c>
      <c r="P209" s="31">
        <f>'октябрь 2014г. по 6-10'!P209+'октябрь 2014г. по 0,4'!P206</f>
        <v>0</v>
      </c>
      <c r="Q209" s="31">
        <f>'октябрь 2014г. по 6-10'!Q209+'октябрь 2014г. по 0,4'!Q206</f>
        <v>0</v>
      </c>
    </row>
    <row r="210" spans="1:17" ht="12.75" customHeight="1" x14ac:dyDescent="0.2">
      <c r="A210" s="18"/>
      <c r="B210" s="53"/>
      <c r="C210" s="50" t="s">
        <v>272</v>
      </c>
      <c r="D210" s="31">
        <f>'октябрь 2014г. по 6-10'!D210+'октябрь 2014г. по 0,4'!D207</f>
        <v>2</v>
      </c>
      <c r="E210" s="31">
        <f>'октябрь 2014г. по 6-10'!E210+'октябрь 2014г. по 0,4'!E207</f>
        <v>10.5</v>
      </c>
      <c r="F210" s="31">
        <f>'октябрь 2014г. по 6-10'!F210+'октябрь 2014г. по 0,4'!F207</f>
        <v>2</v>
      </c>
      <c r="G210" s="31">
        <f>'октябрь 2014г. по 6-10'!G210+'октябрь 2014г. по 0,4'!G207</f>
        <v>10.5</v>
      </c>
      <c r="H210" s="31">
        <f>'октябрь 2014г. по 6-10'!H210+'октябрь 2014г. по 0,4'!H207</f>
        <v>0</v>
      </c>
      <c r="I210" s="31">
        <f>'октябрь 2014г. по 6-10'!I210+'октябрь 2014г. по 0,4'!I207</f>
        <v>0</v>
      </c>
      <c r="J210" s="31">
        <f>'октябрь 2014г. по 6-10'!J210+'октябрь 2014г. по 0,4'!J207</f>
        <v>15</v>
      </c>
      <c r="K210" s="31">
        <f>'октябрь 2014г. по 6-10'!K210+'октябрь 2014г. по 0,4'!K207</f>
        <v>50</v>
      </c>
      <c r="L210" s="31">
        <f>'октябрь 2014г. по 6-10'!L210+'октябрь 2014г. по 0,4'!L207</f>
        <v>0</v>
      </c>
      <c r="M210" s="31">
        <f>'октябрь 2014г. по 6-10'!M210+'октябрь 2014г. по 0,4'!M207</f>
        <v>0</v>
      </c>
      <c r="N210" s="31">
        <f>'октябрь 2014г. по 6-10'!N210+'октябрь 2014г. по 0,4'!N207</f>
        <v>0</v>
      </c>
      <c r="O210" s="31">
        <f>'октябрь 2014г. по 6-10'!O210+'октябрь 2014г. по 0,4'!O207</f>
        <v>0</v>
      </c>
      <c r="P210" s="31">
        <f>'октябрь 2014г. по 6-10'!P210+'октябрь 2014г. по 0,4'!P207</f>
        <v>0</v>
      </c>
      <c r="Q210" s="31">
        <f>'октябрь 2014г. по 6-10'!Q210+'октябрь 2014г. по 0,4'!Q207</f>
        <v>0</v>
      </c>
    </row>
    <row r="211" spans="1:17" ht="12.75" customHeight="1" x14ac:dyDescent="0.2">
      <c r="A211" s="18"/>
      <c r="B211" s="53"/>
      <c r="C211" s="50" t="s">
        <v>273</v>
      </c>
      <c r="D211" s="31">
        <f>'октябрь 2014г. по 6-10'!D211+'октябрь 2014г. по 0,4'!D208</f>
        <v>5</v>
      </c>
      <c r="E211" s="31">
        <f>'октябрь 2014г. по 6-10'!E211+'октябрь 2014г. по 0,4'!E208</f>
        <v>55</v>
      </c>
      <c r="F211" s="31">
        <f>'октябрь 2014г. по 6-10'!F211+'октябрь 2014г. по 0,4'!F208</f>
        <v>5</v>
      </c>
      <c r="G211" s="31">
        <f>'октябрь 2014г. по 6-10'!G211+'октябрь 2014г. по 0,4'!G208</f>
        <v>55</v>
      </c>
      <c r="H211" s="31">
        <f>'октябрь 2014г. по 6-10'!H211+'октябрь 2014г. по 0,4'!H208</f>
        <v>0</v>
      </c>
      <c r="I211" s="31">
        <f>'октябрь 2014г. по 6-10'!I211+'октябрь 2014г. по 0,4'!I208</f>
        <v>0</v>
      </c>
      <c r="J211" s="31">
        <f>'октябрь 2014г. по 6-10'!J211+'октябрь 2014г. по 0,4'!J208</f>
        <v>15</v>
      </c>
      <c r="K211" s="31">
        <f>'октябрь 2014г. по 6-10'!K211+'октябрь 2014г. по 0,4'!K208</f>
        <v>65</v>
      </c>
      <c r="L211" s="31">
        <f>'октябрь 2014г. по 6-10'!L211+'октябрь 2014г. по 0,4'!L208</f>
        <v>0</v>
      </c>
      <c r="M211" s="31">
        <f>'октябрь 2014г. по 6-10'!M211+'октябрь 2014г. по 0,4'!M208</f>
        <v>0</v>
      </c>
      <c r="N211" s="31">
        <f>'октябрь 2014г. по 6-10'!N211+'октябрь 2014г. по 0,4'!N208</f>
        <v>0</v>
      </c>
      <c r="O211" s="31">
        <f>'октябрь 2014г. по 6-10'!O211+'октябрь 2014г. по 0,4'!O208</f>
        <v>0</v>
      </c>
      <c r="P211" s="31">
        <f>'октябрь 2014г. по 6-10'!P211+'октябрь 2014г. по 0,4'!P208</f>
        <v>0</v>
      </c>
      <c r="Q211" s="31">
        <f>'октябрь 2014г. по 6-10'!Q211+'октябрь 2014г. по 0,4'!Q208</f>
        <v>0</v>
      </c>
    </row>
    <row r="212" spans="1:17" ht="12.75" customHeight="1" x14ac:dyDescent="0.2">
      <c r="A212" s="18"/>
      <c r="B212" s="53"/>
      <c r="C212" s="50" t="s">
        <v>274</v>
      </c>
      <c r="D212" s="31">
        <f>'октябрь 2014г. по 6-10'!D212+'октябрь 2014г. по 0,4'!D209</f>
        <v>3</v>
      </c>
      <c r="E212" s="31">
        <f>'октябрь 2014г. по 6-10'!E212+'октябрь 2014г. по 0,4'!E209</f>
        <v>35</v>
      </c>
      <c r="F212" s="31">
        <f>'октябрь 2014г. по 6-10'!F212+'октябрь 2014г. по 0,4'!F209</f>
        <v>3</v>
      </c>
      <c r="G212" s="31">
        <f>'октябрь 2014г. по 6-10'!G212+'октябрь 2014г. по 0,4'!G209</f>
        <v>35</v>
      </c>
      <c r="H212" s="31">
        <f>'октябрь 2014г. по 6-10'!H212+'октябрь 2014г. по 0,4'!H209</f>
        <v>0</v>
      </c>
      <c r="I212" s="31">
        <f>'октябрь 2014г. по 6-10'!I212+'октябрь 2014г. по 0,4'!I209</f>
        <v>0</v>
      </c>
      <c r="J212" s="31">
        <f>'октябрь 2014г. по 6-10'!J212+'октябрь 2014г. по 0,4'!J209</f>
        <v>17</v>
      </c>
      <c r="K212" s="31">
        <f>'октябрь 2014г. по 6-10'!K212+'октябрь 2014г. по 0,4'!K209</f>
        <v>69</v>
      </c>
      <c r="L212" s="31">
        <f>'октябрь 2014г. по 6-10'!L212+'октябрь 2014г. по 0,4'!L209</f>
        <v>0</v>
      </c>
      <c r="M212" s="31">
        <f>'октябрь 2014г. по 6-10'!M212+'октябрь 2014г. по 0,4'!M209</f>
        <v>0</v>
      </c>
      <c r="N212" s="31">
        <f>'октябрь 2014г. по 6-10'!N212+'октябрь 2014г. по 0,4'!N209</f>
        <v>0</v>
      </c>
      <c r="O212" s="31">
        <f>'октябрь 2014г. по 6-10'!O212+'октябрь 2014г. по 0,4'!O209</f>
        <v>0</v>
      </c>
      <c r="P212" s="31">
        <f>'октябрь 2014г. по 6-10'!P212+'октябрь 2014г. по 0,4'!P209</f>
        <v>0</v>
      </c>
      <c r="Q212" s="31">
        <f>'октябрь 2014г. по 6-10'!Q212+'октябрь 2014г. по 0,4'!Q209</f>
        <v>0</v>
      </c>
    </row>
    <row r="213" spans="1:17" ht="12.75" customHeight="1" x14ac:dyDescent="0.2">
      <c r="A213" s="18"/>
      <c r="B213" s="53"/>
      <c r="C213" s="50" t="s">
        <v>275</v>
      </c>
      <c r="D213" s="31">
        <f>'октябрь 2014г. по 6-10'!D213+'октябрь 2014г. по 0,4'!D210</f>
        <v>4</v>
      </c>
      <c r="E213" s="31">
        <f>'октябрь 2014г. по 6-10'!E213+'октябрь 2014г. по 0,4'!E210</f>
        <v>435</v>
      </c>
      <c r="F213" s="31">
        <f>'октябрь 2014г. по 6-10'!F213+'октябрь 2014г. по 0,4'!F210</f>
        <v>4</v>
      </c>
      <c r="G213" s="31">
        <f>'октябрь 2014г. по 6-10'!G213+'октябрь 2014г. по 0,4'!G210</f>
        <v>115</v>
      </c>
      <c r="H213" s="31">
        <f>'октябрь 2014г. по 6-10'!H213+'октябрь 2014г. по 0,4'!H210</f>
        <v>0</v>
      </c>
      <c r="I213" s="31">
        <f>'октябрь 2014г. по 6-10'!I213+'октябрь 2014г. по 0,4'!I210</f>
        <v>0</v>
      </c>
      <c r="J213" s="31">
        <f>'октябрь 2014г. по 6-10'!J213+'октябрь 2014г. по 0,4'!J210</f>
        <v>43</v>
      </c>
      <c r="K213" s="31">
        <f>'октябрь 2014г. по 6-10'!K213+'октябрь 2014г. по 0,4'!K210</f>
        <v>223</v>
      </c>
      <c r="L213" s="31">
        <f>'октябрь 2014г. по 6-10'!L213+'октябрь 2014г. по 0,4'!L210</f>
        <v>0</v>
      </c>
      <c r="M213" s="31">
        <f>'октябрь 2014г. по 6-10'!M213+'октябрь 2014г. по 0,4'!M210</f>
        <v>0</v>
      </c>
      <c r="N213" s="31">
        <f>'октябрь 2014г. по 6-10'!N213+'октябрь 2014г. по 0,4'!N210</f>
        <v>0</v>
      </c>
      <c r="O213" s="31">
        <f>'октябрь 2014г. по 6-10'!O213+'октябрь 2014г. по 0,4'!O210</f>
        <v>0</v>
      </c>
      <c r="P213" s="31">
        <f>'октябрь 2014г. по 6-10'!P213+'октябрь 2014г. по 0,4'!P210</f>
        <v>0</v>
      </c>
      <c r="Q213" s="31">
        <f>'октябрь 2014г. по 6-10'!Q213+'октябрь 2014г. по 0,4'!Q210</f>
        <v>0</v>
      </c>
    </row>
    <row r="214" spans="1:17" ht="12.75" customHeight="1" x14ac:dyDescent="0.2">
      <c r="A214" s="18"/>
      <c r="B214" s="53"/>
      <c r="C214" s="50" t="s">
        <v>276</v>
      </c>
      <c r="D214" s="31">
        <f>'октябрь 2014г. по 6-10'!D214+'октябрь 2014г. по 0,4'!D211</f>
        <v>7</v>
      </c>
      <c r="E214" s="31">
        <f>'октябрь 2014г. по 6-10'!E214+'октябрь 2014г. по 0,4'!E211</f>
        <v>65.8</v>
      </c>
      <c r="F214" s="31">
        <f>'октябрь 2014г. по 6-10'!F214+'октябрь 2014г. по 0,4'!F211</f>
        <v>3</v>
      </c>
      <c r="G214" s="31">
        <f>'октябрь 2014г. по 6-10'!G214+'октябрь 2014г. по 0,4'!G211</f>
        <v>37</v>
      </c>
      <c r="H214" s="31">
        <f>'октябрь 2014г. по 6-10'!H214+'октябрь 2014г. по 0,4'!H211</f>
        <v>0</v>
      </c>
      <c r="I214" s="31">
        <f>'октябрь 2014г. по 6-10'!I214+'октябрь 2014г. по 0,4'!I211</f>
        <v>0</v>
      </c>
      <c r="J214" s="31">
        <f>'октябрь 2014г. по 6-10'!J214+'октябрь 2014г. по 0,4'!J211</f>
        <v>14</v>
      </c>
      <c r="K214" s="31">
        <f>'октябрь 2014г. по 6-10'!K214+'октябрь 2014г. по 0,4'!K211</f>
        <v>138</v>
      </c>
      <c r="L214" s="31">
        <f>'октябрь 2014г. по 6-10'!L214+'октябрь 2014г. по 0,4'!L211</f>
        <v>0</v>
      </c>
      <c r="M214" s="31">
        <f>'октябрь 2014г. по 6-10'!M214+'октябрь 2014г. по 0,4'!M211</f>
        <v>0</v>
      </c>
      <c r="N214" s="31">
        <f>'октябрь 2014г. по 6-10'!N214+'октябрь 2014г. по 0,4'!N211</f>
        <v>0</v>
      </c>
      <c r="O214" s="31">
        <f>'октябрь 2014г. по 6-10'!O214+'октябрь 2014г. по 0,4'!O211</f>
        <v>0</v>
      </c>
      <c r="P214" s="31">
        <f>'октябрь 2014г. по 6-10'!P214+'октябрь 2014г. по 0,4'!P211</f>
        <v>0</v>
      </c>
      <c r="Q214" s="31">
        <f>'октябрь 2014г. по 6-10'!Q214+'октябрь 2014г. по 0,4'!Q211</f>
        <v>0</v>
      </c>
    </row>
    <row r="215" spans="1:17" ht="12.75" customHeight="1" x14ac:dyDescent="0.2">
      <c r="A215" s="18"/>
      <c r="B215" s="53"/>
      <c r="C215" s="50" t="s">
        <v>277</v>
      </c>
      <c r="D215" s="31">
        <f>'октябрь 2014г. по 6-10'!D215+'октябрь 2014г. по 0,4'!D212</f>
        <v>5</v>
      </c>
      <c r="E215" s="31">
        <f>'октябрь 2014г. по 6-10'!E215+'октябрь 2014г. по 0,4'!E212</f>
        <v>126</v>
      </c>
      <c r="F215" s="31">
        <f>'октябрь 2014г. по 6-10'!F215+'октябрь 2014г. по 0,4'!F212</f>
        <v>3</v>
      </c>
      <c r="G215" s="31">
        <f>'октябрь 2014г. по 6-10'!G215+'октябрь 2014г. по 0,4'!G212</f>
        <v>120</v>
      </c>
      <c r="H215" s="31">
        <f>'октябрь 2014г. по 6-10'!H215+'октябрь 2014г. по 0,4'!H212</f>
        <v>0</v>
      </c>
      <c r="I215" s="31">
        <f>'октябрь 2014г. по 6-10'!I215+'октябрь 2014г. по 0,4'!I212</f>
        <v>0</v>
      </c>
      <c r="J215" s="31">
        <f>'октябрь 2014г. по 6-10'!J215+'октябрь 2014г. по 0,4'!J212</f>
        <v>16</v>
      </c>
      <c r="K215" s="31">
        <f>'октябрь 2014г. по 6-10'!K215+'октябрь 2014г. по 0,4'!K212</f>
        <v>95.2</v>
      </c>
      <c r="L215" s="31">
        <f>'октябрь 2014г. по 6-10'!L215+'октябрь 2014г. по 0,4'!L212</f>
        <v>0</v>
      </c>
      <c r="M215" s="31">
        <f>'октябрь 2014г. по 6-10'!M215+'октябрь 2014г. по 0,4'!M212</f>
        <v>0</v>
      </c>
      <c r="N215" s="31">
        <f>'октябрь 2014г. по 6-10'!N215+'октябрь 2014г. по 0,4'!N212</f>
        <v>0</v>
      </c>
      <c r="O215" s="31">
        <f>'октябрь 2014г. по 6-10'!O215+'октябрь 2014г. по 0,4'!O212</f>
        <v>0</v>
      </c>
      <c r="P215" s="31">
        <f>'октябрь 2014г. по 6-10'!P215+'октябрь 2014г. по 0,4'!P212</f>
        <v>0</v>
      </c>
      <c r="Q215" s="31">
        <f>'октябрь 2014г. по 6-10'!Q215+'октябрь 2014г. по 0,4'!Q212</f>
        <v>0</v>
      </c>
    </row>
    <row r="216" spans="1:17" ht="12.75" customHeight="1" x14ac:dyDescent="0.2">
      <c r="A216" s="18"/>
      <c r="B216" s="53"/>
      <c r="C216" s="50" t="s">
        <v>278</v>
      </c>
      <c r="D216" s="31">
        <f>'октябрь 2014г. по 6-10'!D216+'октябрь 2014г. по 0,4'!D213</f>
        <v>3</v>
      </c>
      <c r="E216" s="31">
        <f>'октябрь 2014г. по 6-10'!E216+'октябрь 2014г. по 0,4'!E213</f>
        <v>32.4</v>
      </c>
      <c r="F216" s="31">
        <f>'октябрь 2014г. по 6-10'!F216+'октябрь 2014г. по 0,4'!F213</f>
        <v>3</v>
      </c>
      <c r="G216" s="31">
        <f>'октябрь 2014г. по 6-10'!G216+'октябрь 2014г. по 0,4'!G213</f>
        <v>32.4</v>
      </c>
      <c r="H216" s="31">
        <f>'октябрь 2014г. по 6-10'!H216+'октябрь 2014г. по 0,4'!H213</f>
        <v>0</v>
      </c>
      <c r="I216" s="31">
        <f>'октябрь 2014г. по 6-10'!I216+'октябрь 2014г. по 0,4'!I213</f>
        <v>0</v>
      </c>
      <c r="J216" s="31">
        <f>'октябрь 2014г. по 6-10'!J216+'октябрь 2014г. по 0,4'!J213</f>
        <v>0</v>
      </c>
      <c r="K216" s="31">
        <f>'октябрь 2014г. по 6-10'!K216+'октябрь 2014г. по 0,4'!K213</f>
        <v>0</v>
      </c>
      <c r="L216" s="31">
        <f>'октябрь 2014г. по 6-10'!L216+'октябрь 2014г. по 0,4'!L213</f>
        <v>0</v>
      </c>
      <c r="M216" s="31">
        <f>'октябрь 2014г. по 6-10'!M216+'октябрь 2014г. по 0,4'!M213</f>
        <v>0</v>
      </c>
      <c r="N216" s="31">
        <f>'октябрь 2014г. по 6-10'!N216+'октябрь 2014г. по 0,4'!N213</f>
        <v>0</v>
      </c>
      <c r="O216" s="31">
        <f>'октябрь 2014г. по 6-10'!O216+'октябрь 2014г. по 0,4'!O213</f>
        <v>0</v>
      </c>
      <c r="P216" s="31">
        <f>'октябрь 2014г. по 6-10'!P216+'октябрь 2014г. по 0,4'!P213</f>
        <v>0</v>
      </c>
      <c r="Q216" s="31">
        <f>'октябрь 2014г. по 6-10'!Q216+'октябрь 2014г. по 0,4'!Q213</f>
        <v>0</v>
      </c>
    </row>
    <row r="217" spans="1:17" ht="12.75" customHeight="1" x14ac:dyDescent="0.2">
      <c r="A217" s="18"/>
      <c r="B217" s="53"/>
      <c r="C217" s="50" t="s">
        <v>279</v>
      </c>
      <c r="D217" s="31">
        <f>'октябрь 2014г. по 6-10'!D217+'октябрь 2014г. по 0,4'!D214</f>
        <v>1</v>
      </c>
      <c r="E217" s="31">
        <f>'октябрь 2014г. по 6-10'!E217+'октябрь 2014г. по 0,4'!E214</f>
        <v>3</v>
      </c>
      <c r="F217" s="31">
        <f>'октябрь 2014г. по 6-10'!F217+'октябрь 2014г. по 0,4'!F214</f>
        <v>1</v>
      </c>
      <c r="G217" s="31">
        <f>'октябрь 2014г. по 6-10'!G217+'октябрь 2014г. по 0,4'!G214</f>
        <v>3</v>
      </c>
      <c r="H217" s="31">
        <f>'октябрь 2014г. по 6-10'!H217+'октябрь 2014г. по 0,4'!H214</f>
        <v>0</v>
      </c>
      <c r="I217" s="31">
        <f>'октябрь 2014г. по 6-10'!I217+'октябрь 2014г. по 0,4'!I214</f>
        <v>0</v>
      </c>
      <c r="J217" s="31">
        <f>'октябрь 2014г. по 6-10'!J217+'октябрь 2014г. по 0,4'!J214</f>
        <v>19</v>
      </c>
      <c r="K217" s="31">
        <f>'октябрь 2014г. по 6-10'!K217+'октябрь 2014г. по 0,4'!K214</f>
        <v>145</v>
      </c>
      <c r="L217" s="31">
        <f>'октябрь 2014г. по 6-10'!L217+'октябрь 2014г. по 0,4'!L214</f>
        <v>0</v>
      </c>
      <c r="M217" s="31">
        <f>'октябрь 2014г. по 6-10'!M217+'октябрь 2014г. по 0,4'!M214</f>
        <v>0</v>
      </c>
      <c r="N217" s="31">
        <f>'октябрь 2014г. по 6-10'!N217+'октябрь 2014г. по 0,4'!N214</f>
        <v>0</v>
      </c>
      <c r="O217" s="31">
        <f>'октябрь 2014г. по 6-10'!O217+'октябрь 2014г. по 0,4'!O214</f>
        <v>0</v>
      </c>
      <c r="P217" s="31">
        <f>'октябрь 2014г. по 6-10'!P217+'октябрь 2014г. по 0,4'!P214</f>
        <v>0</v>
      </c>
      <c r="Q217" s="31">
        <f>'октябрь 2014г. по 6-10'!Q217+'октябрь 2014г. по 0,4'!Q214</f>
        <v>0</v>
      </c>
    </row>
    <row r="218" spans="1:17" ht="12.75" customHeight="1" x14ac:dyDescent="0.2">
      <c r="A218" s="18"/>
      <c r="B218" s="53"/>
      <c r="C218" s="50" t="s">
        <v>280</v>
      </c>
      <c r="D218" s="31">
        <f>'октябрь 2014г. по 6-10'!D218+'октябрь 2014г. по 0,4'!D215</f>
        <v>2</v>
      </c>
      <c r="E218" s="31">
        <f>'октябрь 2014г. по 6-10'!E218+'октябрь 2014г. по 0,4'!E215</f>
        <v>155</v>
      </c>
      <c r="F218" s="31">
        <f>'октябрь 2014г. по 6-10'!F218+'октябрь 2014г. по 0,4'!F215</f>
        <v>2</v>
      </c>
      <c r="G218" s="31">
        <f>'октябрь 2014г. по 6-10'!G218+'октябрь 2014г. по 0,4'!G215</f>
        <v>19.399999999999999</v>
      </c>
      <c r="H218" s="31">
        <f>'октябрь 2014г. по 6-10'!H218+'октябрь 2014г. по 0,4'!H215</f>
        <v>0</v>
      </c>
      <c r="I218" s="31">
        <f>'октябрь 2014г. по 6-10'!I218+'октябрь 2014г. по 0,4'!I215</f>
        <v>0</v>
      </c>
      <c r="J218" s="31">
        <f>'октябрь 2014г. по 6-10'!J218+'октябрь 2014г. по 0,4'!J215</f>
        <v>0</v>
      </c>
      <c r="K218" s="31">
        <f>'октябрь 2014г. по 6-10'!K218+'октябрь 2014г. по 0,4'!K215</f>
        <v>0</v>
      </c>
      <c r="L218" s="31">
        <f>'октябрь 2014г. по 6-10'!L218+'октябрь 2014г. по 0,4'!L215</f>
        <v>0</v>
      </c>
      <c r="M218" s="31">
        <f>'октябрь 2014г. по 6-10'!M218+'октябрь 2014г. по 0,4'!M215</f>
        <v>0</v>
      </c>
      <c r="N218" s="31">
        <f>'октябрь 2014г. по 6-10'!N218+'октябрь 2014г. по 0,4'!N215</f>
        <v>0</v>
      </c>
      <c r="O218" s="31">
        <f>'октябрь 2014г. по 6-10'!O218+'октябрь 2014г. по 0,4'!O215</f>
        <v>0</v>
      </c>
      <c r="P218" s="31">
        <f>'октябрь 2014г. по 6-10'!P218+'октябрь 2014г. по 0,4'!P215</f>
        <v>0</v>
      </c>
      <c r="Q218" s="31">
        <f>'октябрь 2014г. по 6-10'!Q218+'октябрь 2014г. по 0,4'!Q215</f>
        <v>0</v>
      </c>
    </row>
    <row r="219" spans="1:17" ht="12.75" customHeight="1" x14ac:dyDescent="0.2">
      <c r="A219" s="18"/>
      <c r="B219" s="53"/>
      <c r="C219" s="50" t="s">
        <v>281</v>
      </c>
      <c r="D219" s="31">
        <f>'октябрь 2014г. по 6-10'!D219+'октябрь 2014г. по 0,4'!D216</f>
        <v>3</v>
      </c>
      <c r="E219" s="31">
        <f>'октябрь 2014г. по 6-10'!E219+'октябрь 2014г. по 0,4'!E216</f>
        <v>267</v>
      </c>
      <c r="F219" s="31">
        <f>'октябрь 2014г. по 6-10'!F219+'октябрь 2014г. по 0,4'!F216</f>
        <v>3</v>
      </c>
      <c r="G219" s="31">
        <f>'октябрь 2014г. по 6-10'!G219+'октябрь 2014г. по 0,4'!G216</f>
        <v>51</v>
      </c>
      <c r="H219" s="31">
        <f>'октябрь 2014г. по 6-10'!H219+'октябрь 2014г. по 0,4'!H216</f>
        <v>0</v>
      </c>
      <c r="I219" s="31">
        <f>'октябрь 2014г. по 6-10'!I219+'октябрь 2014г. по 0,4'!I216</f>
        <v>0</v>
      </c>
      <c r="J219" s="31">
        <f>'октябрь 2014г. по 6-10'!J219+'октябрь 2014г. по 0,4'!J216</f>
        <v>0</v>
      </c>
      <c r="K219" s="31">
        <f>'октябрь 2014г. по 6-10'!K219+'октябрь 2014г. по 0,4'!K216</f>
        <v>0</v>
      </c>
      <c r="L219" s="31">
        <f>'октябрь 2014г. по 6-10'!L219+'октябрь 2014г. по 0,4'!L216</f>
        <v>0</v>
      </c>
      <c r="M219" s="31">
        <f>'октябрь 2014г. по 6-10'!M219+'октябрь 2014г. по 0,4'!M216</f>
        <v>0</v>
      </c>
      <c r="N219" s="31">
        <f>'октябрь 2014г. по 6-10'!N219+'октябрь 2014г. по 0,4'!N216</f>
        <v>0</v>
      </c>
      <c r="O219" s="31">
        <f>'октябрь 2014г. по 6-10'!O219+'октябрь 2014г. по 0,4'!O216</f>
        <v>0</v>
      </c>
      <c r="P219" s="31">
        <f>'октябрь 2014г. по 6-10'!P219+'октябрь 2014г. по 0,4'!P216</f>
        <v>0</v>
      </c>
      <c r="Q219" s="31">
        <f>'октябрь 2014г. по 6-10'!Q219+'октябрь 2014г. по 0,4'!Q216</f>
        <v>0</v>
      </c>
    </row>
    <row r="220" spans="1:17" ht="12.75" customHeight="1" x14ac:dyDescent="0.2">
      <c r="A220" s="18"/>
      <c r="B220" s="53"/>
      <c r="C220" s="50" t="s">
        <v>282</v>
      </c>
      <c r="D220" s="31">
        <f>'октябрь 2014г. по 6-10'!D220+'октябрь 2014г. по 0,4'!D217</f>
        <v>7</v>
      </c>
      <c r="E220" s="31">
        <f>'октябрь 2014г. по 6-10'!E220+'октябрь 2014г. по 0,4'!E217</f>
        <v>25</v>
      </c>
      <c r="F220" s="31">
        <f>'октябрь 2014г. по 6-10'!F220+'октябрь 2014г. по 0,4'!F217</f>
        <v>0</v>
      </c>
      <c r="G220" s="31">
        <f>'октябрь 2014г. по 6-10'!G220+'октябрь 2014г. по 0,4'!G217</f>
        <v>0</v>
      </c>
      <c r="H220" s="31">
        <f>'октябрь 2014г. по 6-10'!H220+'октябрь 2014г. по 0,4'!H217</f>
        <v>0</v>
      </c>
      <c r="I220" s="31">
        <f>'октябрь 2014г. по 6-10'!I220+'октябрь 2014г. по 0,4'!I217</f>
        <v>0</v>
      </c>
      <c r="J220" s="31">
        <f>'октябрь 2014г. по 6-10'!J220+'октябрь 2014г. по 0,4'!J217</f>
        <v>18</v>
      </c>
      <c r="K220" s="31">
        <f>'октябрь 2014г. по 6-10'!K220+'октябрь 2014г. по 0,4'!K217</f>
        <v>56</v>
      </c>
      <c r="L220" s="31">
        <f>'октябрь 2014г. по 6-10'!L220+'октябрь 2014г. по 0,4'!L217</f>
        <v>0</v>
      </c>
      <c r="M220" s="31">
        <f>'октябрь 2014г. по 6-10'!M220+'октябрь 2014г. по 0,4'!M217</f>
        <v>0</v>
      </c>
      <c r="N220" s="31">
        <f>'октябрь 2014г. по 6-10'!N220+'октябрь 2014г. по 0,4'!N217</f>
        <v>0</v>
      </c>
      <c r="O220" s="31">
        <f>'октябрь 2014г. по 6-10'!O220+'октябрь 2014г. по 0,4'!O217</f>
        <v>0</v>
      </c>
      <c r="P220" s="31">
        <f>'октябрь 2014г. по 6-10'!P220+'октябрь 2014г. по 0,4'!P217</f>
        <v>0</v>
      </c>
      <c r="Q220" s="31">
        <f>'октябрь 2014г. по 6-10'!Q220+'октябрь 2014г. по 0,4'!Q217</f>
        <v>0</v>
      </c>
    </row>
    <row r="221" spans="1:17" ht="12.75" customHeight="1" x14ac:dyDescent="0.2">
      <c r="A221" s="18"/>
      <c r="B221" s="53"/>
      <c r="C221" s="50" t="s">
        <v>283</v>
      </c>
      <c r="D221" s="31">
        <f>'октябрь 2014г. по 6-10'!D221+'октябрь 2014г. по 0,4'!D218</f>
        <v>2</v>
      </c>
      <c r="E221" s="31">
        <f>'октябрь 2014г. по 6-10'!E221+'октябрь 2014г. по 0,4'!E218</f>
        <v>95</v>
      </c>
      <c r="F221" s="31">
        <f>'октябрь 2014г. по 6-10'!F221+'октябрь 2014г. по 0,4'!F218</f>
        <v>2</v>
      </c>
      <c r="G221" s="31">
        <f>'октябрь 2014г. по 6-10'!G221+'октябрь 2014г. по 0,4'!G218</f>
        <v>30</v>
      </c>
      <c r="H221" s="31">
        <f>'октябрь 2014г. по 6-10'!H221+'октябрь 2014г. по 0,4'!H218</f>
        <v>0</v>
      </c>
      <c r="I221" s="31">
        <f>'октябрь 2014г. по 6-10'!I221+'октябрь 2014г. по 0,4'!I218</f>
        <v>0</v>
      </c>
      <c r="J221" s="31">
        <f>'октябрь 2014г. по 6-10'!J221+'октябрь 2014г. по 0,4'!J218</f>
        <v>0</v>
      </c>
      <c r="K221" s="31">
        <f>'октябрь 2014г. по 6-10'!K221+'октябрь 2014г. по 0,4'!K218</f>
        <v>0</v>
      </c>
      <c r="L221" s="31">
        <f>'октябрь 2014г. по 6-10'!L221+'октябрь 2014г. по 0,4'!L218</f>
        <v>0</v>
      </c>
      <c r="M221" s="31">
        <f>'октябрь 2014г. по 6-10'!M221+'октябрь 2014г. по 0,4'!M218</f>
        <v>0</v>
      </c>
      <c r="N221" s="31">
        <f>'октябрь 2014г. по 6-10'!N221+'октябрь 2014г. по 0,4'!N218</f>
        <v>0</v>
      </c>
      <c r="O221" s="31">
        <f>'октябрь 2014г. по 6-10'!O221+'октябрь 2014г. по 0,4'!O218</f>
        <v>0</v>
      </c>
      <c r="P221" s="31">
        <f>'октябрь 2014г. по 6-10'!P221+'октябрь 2014г. по 0,4'!P218</f>
        <v>0</v>
      </c>
      <c r="Q221" s="31">
        <f>'октябрь 2014г. по 6-10'!Q221+'октябрь 2014г. по 0,4'!Q218</f>
        <v>0</v>
      </c>
    </row>
    <row r="222" spans="1:17" ht="12.75" customHeight="1" x14ac:dyDescent="0.2">
      <c r="A222" s="18"/>
      <c r="B222" s="53"/>
      <c r="C222" s="50" t="s">
        <v>284</v>
      </c>
      <c r="D222" s="31">
        <f>'октябрь 2014г. по 6-10'!D222+'октябрь 2014г. по 0,4'!D219</f>
        <v>9</v>
      </c>
      <c r="E222" s="31">
        <f>'октябрь 2014г. по 6-10'!E222+'октябрь 2014г. по 0,4'!E219</f>
        <v>607</v>
      </c>
      <c r="F222" s="31">
        <f>'октябрь 2014г. по 6-10'!F222+'октябрь 2014г. по 0,4'!F219</f>
        <v>1</v>
      </c>
      <c r="G222" s="31">
        <f>'октябрь 2014г. по 6-10'!G222+'октябрь 2014г. по 0,4'!G219</f>
        <v>30</v>
      </c>
      <c r="H222" s="31">
        <f>'октябрь 2014г. по 6-10'!H222+'октябрь 2014г. по 0,4'!H219</f>
        <v>0</v>
      </c>
      <c r="I222" s="31">
        <f>'октябрь 2014г. по 6-10'!I222+'октябрь 2014г. по 0,4'!I219</f>
        <v>0</v>
      </c>
      <c r="J222" s="31">
        <f>'октябрь 2014г. по 6-10'!J222+'октябрь 2014г. по 0,4'!J219</f>
        <v>0</v>
      </c>
      <c r="K222" s="31">
        <f>'октябрь 2014г. по 6-10'!K222+'октябрь 2014г. по 0,4'!K219</f>
        <v>0</v>
      </c>
      <c r="L222" s="31">
        <f>'октябрь 2014г. по 6-10'!L222+'октябрь 2014г. по 0,4'!L219</f>
        <v>0</v>
      </c>
      <c r="M222" s="31">
        <f>'октябрь 2014г. по 6-10'!M222+'октябрь 2014г. по 0,4'!M219</f>
        <v>0</v>
      </c>
      <c r="N222" s="31">
        <f>'октябрь 2014г. по 6-10'!N222+'октябрь 2014г. по 0,4'!N219</f>
        <v>0</v>
      </c>
      <c r="O222" s="31">
        <f>'октябрь 2014г. по 6-10'!O222+'октябрь 2014г. по 0,4'!O219</f>
        <v>0</v>
      </c>
      <c r="P222" s="31">
        <f>'октябрь 2014г. по 6-10'!P222+'октябрь 2014г. по 0,4'!P219</f>
        <v>0</v>
      </c>
      <c r="Q222" s="31">
        <f>'октябрь 2014г. по 6-10'!Q222+'октябрь 2014г. по 0,4'!Q219</f>
        <v>0</v>
      </c>
    </row>
    <row r="223" spans="1:17" ht="12.75" customHeight="1" x14ac:dyDescent="0.2">
      <c r="A223" s="18"/>
      <c r="B223" s="53"/>
      <c r="C223" s="50" t="s">
        <v>285</v>
      </c>
      <c r="D223" s="31">
        <f>'октябрь 2014г. по 6-10'!D223+'октябрь 2014г. по 0,4'!D220</f>
        <v>4</v>
      </c>
      <c r="E223" s="31">
        <f>'октябрь 2014г. по 6-10'!E223+'октябрь 2014г. по 0,4'!E220</f>
        <v>121</v>
      </c>
      <c r="F223" s="31">
        <f>'октябрь 2014г. по 6-10'!F223+'октябрь 2014г. по 0,4'!F220</f>
        <v>1</v>
      </c>
      <c r="G223" s="31">
        <f>'октябрь 2014г. по 6-10'!G223+'октябрь 2014г. по 0,4'!G220</f>
        <v>15</v>
      </c>
      <c r="H223" s="31">
        <f>'октябрь 2014г. по 6-10'!H223+'октябрь 2014г. по 0,4'!H220</f>
        <v>0</v>
      </c>
      <c r="I223" s="31">
        <f>'октябрь 2014г. по 6-10'!I223+'октябрь 2014г. по 0,4'!I220</f>
        <v>0</v>
      </c>
      <c r="J223" s="31">
        <f>'октябрь 2014г. по 6-10'!J223+'октябрь 2014г. по 0,4'!J220</f>
        <v>0</v>
      </c>
      <c r="K223" s="31">
        <f>'октябрь 2014г. по 6-10'!K223+'октябрь 2014г. по 0,4'!K220</f>
        <v>0</v>
      </c>
      <c r="L223" s="31">
        <f>'октябрь 2014г. по 6-10'!L223+'октябрь 2014г. по 0,4'!L220</f>
        <v>0</v>
      </c>
      <c r="M223" s="31">
        <f>'октябрь 2014г. по 6-10'!M223+'октябрь 2014г. по 0,4'!M220</f>
        <v>0</v>
      </c>
      <c r="N223" s="31">
        <f>'октябрь 2014г. по 6-10'!N223+'октябрь 2014г. по 0,4'!N220</f>
        <v>0</v>
      </c>
      <c r="O223" s="31">
        <f>'октябрь 2014г. по 6-10'!O223+'октябрь 2014г. по 0,4'!O220</f>
        <v>0</v>
      </c>
      <c r="P223" s="31">
        <f>'октябрь 2014г. по 6-10'!P223+'октябрь 2014г. по 0,4'!P220</f>
        <v>0</v>
      </c>
      <c r="Q223" s="31">
        <f>'октябрь 2014г. по 6-10'!Q223+'октябрь 2014г. по 0,4'!Q220</f>
        <v>0</v>
      </c>
    </row>
    <row r="224" spans="1:17" ht="12.75" customHeight="1" x14ac:dyDescent="0.2">
      <c r="A224" s="18"/>
      <c r="B224" s="53"/>
      <c r="C224" s="50" t="s">
        <v>286</v>
      </c>
      <c r="D224" s="31">
        <f>'октябрь 2014г. по 6-10'!D224+'октябрь 2014г. по 0,4'!D221</f>
        <v>16</v>
      </c>
      <c r="E224" s="31">
        <f>'октябрь 2014г. по 6-10'!E224+'октябрь 2014г. по 0,4'!E221</f>
        <v>445</v>
      </c>
      <c r="F224" s="31">
        <f>'октябрь 2014г. по 6-10'!F224+'октябрь 2014г. по 0,4'!F221</f>
        <v>11</v>
      </c>
      <c r="G224" s="31">
        <f>'октябрь 2014г. по 6-10'!G224+'октябрь 2014г. по 0,4'!G221</f>
        <v>225</v>
      </c>
      <c r="H224" s="31">
        <f>'октябрь 2014г. по 6-10'!H224+'октябрь 2014г. по 0,4'!H221</f>
        <v>0</v>
      </c>
      <c r="I224" s="31">
        <f>'октябрь 2014г. по 6-10'!I224+'октябрь 2014г. по 0,4'!I221</f>
        <v>0</v>
      </c>
      <c r="J224" s="31">
        <f>'октябрь 2014г. по 6-10'!J224+'октябрь 2014г. по 0,4'!J221</f>
        <v>3</v>
      </c>
      <c r="K224" s="31">
        <f>'октябрь 2014г. по 6-10'!K224+'октябрь 2014г. по 0,4'!K221</f>
        <v>10</v>
      </c>
      <c r="L224" s="31">
        <f>'октябрь 2014г. по 6-10'!L224+'октябрь 2014г. по 0,4'!L221</f>
        <v>0</v>
      </c>
      <c r="M224" s="31">
        <f>'октябрь 2014г. по 6-10'!M224+'октябрь 2014г. по 0,4'!M221</f>
        <v>0</v>
      </c>
      <c r="N224" s="31">
        <f>'октябрь 2014г. по 6-10'!N224+'октябрь 2014г. по 0,4'!N221</f>
        <v>0</v>
      </c>
      <c r="O224" s="31">
        <f>'октябрь 2014г. по 6-10'!O224+'октябрь 2014г. по 0,4'!O221</f>
        <v>0</v>
      </c>
      <c r="P224" s="31">
        <f>'октябрь 2014г. по 6-10'!P224+'октябрь 2014г. по 0,4'!P221</f>
        <v>0</v>
      </c>
      <c r="Q224" s="31">
        <f>'октябрь 2014г. по 6-10'!Q224+'октябрь 2014г. по 0,4'!Q221</f>
        <v>0</v>
      </c>
    </row>
    <row r="225" spans="1:17" ht="12.75" customHeight="1" x14ac:dyDescent="0.2">
      <c r="A225" s="18"/>
      <c r="B225" s="53"/>
      <c r="C225" s="50" t="s">
        <v>287</v>
      </c>
      <c r="D225" s="31">
        <f>'октябрь 2014г. по 6-10'!D225+'октябрь 2014г. по 0,4'!D222</f>
        <v>7</v>
      </c>
      <c r="E225" s="31">
        <f>'октябрь 2014г. по 6-10'!E225+'октябрь 2014г. по 0,4'!E222</f>
        <v>72</v>
      </c>
      <c r="F225" s="31">
        <f>'октябрь 2014г. по 6-10'!F225+'октябрь 2014г. по 0,4'!F222</f>
        <v>7</v>
      </c>
      <c r="G225" s="31">
        <f>'октябрь 2014г. по 6-10'!G225+'октябрь 2014г. по 0,4'!G222</f>
        <v>57</v>
      </c>
      <c r="H225" s="31">
        <f>'октябрь 2014г. по 6-10'!H225+'октябрь 2014г. по 0,4'!H222</f>
        <v>0</v>
      </c>
      <c r="I225" s="31">
        <f>'октябрь 2014г. по 6-10'!I225+'октябрь 2014г. по 0,4'!I222</f>
        <v>0</v>
      </c>
      <c r="J225" s="31">
        <f>'октябрь 2014г. по 6-10'!J225+'октябрь 2014г. по 0,4'!J222</f>
        <v>1</v>
      </c>
      <c r="K225" s="31">
        <f>'октябрь 2014г. по 6-10'!K225+'октябрь 2014г. по 0,4'!K222</f>
        <v>15</v>
      </c>
      <c r="L225" s="31">
        <f>'октябрь 2014г. по 6-10'!L225+'октябрь 2014г. по 0,4'!L222</f>
        <v>0</v>
      </c>
      <c r="M225" s="31">
        <f>'октябрь 2014г. по 6-10'!M225+'октябрь 2014г. по 0,4'!M222</f>
        <v>0</v>
      </c>
      <c r="N225" s="31">
        <f>'октябрь 2014г. по 6-10'!N225+'октябрь 2014г. по 0,4'!N222</f>
        <v>0</v>
      </c>
      <c r="O225" s="31">
        <f>'октябрь 2014г. по 6-10'!O225+'октябрь 2014г. по 0,4'!O222</f>
        <v>0</v>
      </c>
      <c r="P225" s="31">
        <f>'октябрь 2014г. по 6-10'!P225+'октябрь 2014г. по 0,4'!P222</f>
        <v>0</v>
      </c>
      <c r="Q225" s="31">
        <f>'октябрь 2014г. по 6-10'!Q225+'октябрь 2014г. по 0,4'!Q222</f>
        <v>0</v>
      </c>
    </row>
    <row r="226" spans="1:17" ht="12.75" customHeight="1" x14ac:dyDescent="0.2">
      <c r="A226" s="18"/>
      <c r="B226" s="53"/>
      <c r="C226" s="50" t="s">
        <v>288</v>
      </c>
      <c r="D226" s="31">
        <f>'октябрь 2014г. по 6-10'!D226+'октябрь 2014г. по 0,4'!D223</f>
        <v>6</v>
      </c>
      <c r="E226" s="31">
        <f>'октябрь 2014г. по 6-10'!E226+'октябрь 2014г. по 0,4'!E223</f>
        <v>30.4</v>
      </c>
      <c r="F226" s="31">
        <f>'октябрь 2014г. по 6-10'!F226+'октябрь 2014г. по 0,4'!F223</f>
        <v>3</v>
      </c>
      <c r="G226" s="31">
        <f>'октябрь 2014г. по 6-10'!G226+'октябрь 2014г. по 0,4'!G223</f>
        <v>20.399999999999999</v>
      </c>
      <c r="H226" s="31">
        <f>'октябрь 2014г. по 6-10'!H226+'октябрь 2014г. по 0,4'!H223</f>
        <v>0</v>
      </c>
      <c r="I226" s="31">
        <f>'октябрь 2014г. по 6-10'!I226+'октябрь 2014г. по 0,4'!I223</f>
        <v>0</v>
      </c>
      <c r="J226" s="31">
        <f>'октябрь 2014г. по 6-10'!J226+'октябрь 2014г. по 0,4'!J223</f>
        <v>0</v>
      </c>
      <c r="K226" s="31">
        <f>'октябрь 2014г. по 6-10'!K226+'октябрь 2014г. по 0,4'!K223</f>
        <v>0</v>
      </c>
      <c r="L226" s="31">
        <f>'октябрь 2014г. по 6-10'!L226+'октябрь 2014г. по 0,4'!L223</f>
        <v>0</v>
      </c>
      <c r="M226" s="31">
        <f>'октябрь 2014г. по 6-10'!M226+'октябрь 2014г. по 0,4'!M223</f>
        <v>0</v>
      </c>
      <c r="N226" s="31">
        <f>'октябрь 2014г. по 6-10'!N226+'октябрь 2014г. по 0,4'!N223</f>
        <v>0</v>
      </c>
      <c r="O226" s="31">
        <f>'октябрь 2014г. по 6-10'!O226+'октябрь 2014г. по 0,4'!O223</f>
        <v>0</v>
      </c>
      <c r="P226" s="31">
        <f>'октябрь 2014г. по 6-10'!P226+'октябрь 2014г. по 0,4'!P223</f>
        <v>0</v>
      </c>
      <c r="Q226" s="31">
        <f>'октябрь 2014г. по 6-10'!Q226+'октябрь 2014г. по 0,4'!Q223</f>
        <v>0</v>
      </c>
    </row>
    <row r="227" spans="1:17" ht="12.75" customHeight="1" x14ac:dyDescent="0.2">
      <c r="A227" s="18"/>
      <c r="B227" s="53"/>
      <c r="C227" s="50" t="s">
        <v>289</v>
      </c>
      <c r="D227" s="31">
        <f>'октябрь 2014г. по 6-10'!D227+'октябрь 2014г. по 0,4'!D224</f>
        <v>0</v>
      </c>
      <c r="E227" s="31">
        <f>'октябрь 2014г. по 6-10'!E227+'октябрь 2014г. по 0,4'!E224</f>
        <v>0</v>
      </c>
      <c r="F227" s="31">
        <f>'октябрь 2014г. по 6-10'!F227+'октябрь 2014г. по 0,4'!F224</f>
        <v>0</v>
      </c>
      <c r="G227" s="31">
        <f>'октябрь 2014г. по 6-10'!G227+'октябрь 2014г. по 0,4'!G224</f>
        <v>0</v>
      </c>
      <c r="H227" s="31">
        <f>'октябрь 2014г. по 6-10'!H227+'октябрь 2014г. по 0,4'!H224</f>
        <v>0</v>
      </c>
      <c r="I227" s="31">
        <f>'октябрь 2014г. по 6-10'!I227+'октябрь 2014г. по 0,4'!I224</f>
        <v>0</v>
      </c>
      <c r="J227" s="31">
        <f>'октябрь 2014г. по 6-10'!J227+'октябрь 2014г. по 0,4'!J224</f>
        <v>0</v>
      </c>
      <c r="K227" s="31">
        <f>'октябрь 2014г. по 6-10'!K227+'октябрь 2014г. по 0,4'!K224</f>
        <v>0</v>
      </c>
      <c r="L227" s="31">
        <f>'октябрь 2014г. по 6-10'!L227+'октябрь 2014г. по 0,4'!L224</f>
        <v>0</v>
      </c>
      <c r="M227" s="31">
        <f>'октябрь 2014г. по 6-10'!M227+'октябрь 2014г. по 0,4'!M224</f>
        <v>0</v>
      </c>
      <c r="N227" s="31">
        <f>'октябрь 2014г. по 6-10'!N227+'октябрь 2014г. по 0,4'!N224</f>
        <v>0</v>
      </c>
      <c r="O227" s="31">
        <f>'октябрь 2014г. по 6-10'!O227+'октябрь 2014г. по 0,4'!O224</f>
        <v>0</v>
      </c>
      <c r="P227" s="31">
        <f>'октябрь 2014г. по 6-10'!P227+'октябрь 2014г. по 0,4'!P224</f>
        <v>0</v>
      </c>
      <c r="Q227" s="31">
        <f>'октябрь 2014г. по 6-10'!Q227+'октябрь 2014г. по 0,4'!Q224</f>
        <v>0</v>
      </c>
    </row>
    <row r="228" spans="1:17" ht="12.75" customHeight="1" x14ac:dyDescent="0.2">
      <c r="A228" s="18"/>
      <c r="B228" s="53"/>
      <c r="C228" s="50" t="s">
        <v>290</v>
      </c>
      <c r="D228" s="31">
        <f>'октябрь 2014г. по 6-10'!D228+'октябрь 2014г. по 0,4'!D225</f>
        <v>1</v>
      </c>
      <c r="E228" s="31">
        <f>'октябрь 2014г. по 6-10'!E228+'октябрь 2014г. по 0,4'!E225</f>
        <v>4.4000000000000004</v>
      </c>
      <c r="F228" s="31">
        <f>'октябрь 2014г. по 6-10'!F228+'октябрь 2014г. по 0,4'!F225</f>
        <v>1</v>
      </c>
      <c r="G228" s="31">
        <f>'октябрь 2014г. по 6-10'!G228+'октябрь 2014г. по 0,4'!G225</f>
        <v>4.4000000000000004</v>
      </c>
      <c r="H228" s="31">
        <f>'октябрь 2014г. по 6-10'!H228+'октябрь 2014г. по 0,4'!H225</f>
        <v>0</v>
      </c>
      <c r="I228" s="31">
        <f>'октябрь 2014г. по 6-10'!I228+'октябрь 2014г. по 0,4'!I225</f>
        <v>0</v>
      </c>
      <c r="J228" s="31">
        <f>'октябрь 2014г. по 6-10'!J228+'октябрь 2014г. по 0,4'!J225</f>
        <v>0</v>
      </c>
      <c r="K228" s="31">
        <f>'октябрь 2014г. по 6-10'!K228+'октябрь 2014г. по 0,4'!K225</f>
        <v>0</v>
      </c>
      <c r="L228" s="31">
        <f>'октябрь 2014г. по 6-10'!L228+'октябрь 2014г. по 0,4'!L225</f>
        <v>0</v>
      </c>
      <c r="M228" s="31">
        <f>'октябрь 2014г. по 6-10'!M228+'октябрь 2014г. по 0,4'!M225</f>
        <v>0</v>
      </c>
      <c r="N228" s="31">
        <f>'октябрь 2014г. по 6-10'!N228+'октябрь 2014г. по 0,4'!N225</f>
        <v>0</v>
      </c>
      <c r="O228" s="31">
        <f>'октябрь 2014г. по 6-10'!O228+'октябрь 2014г. по 0,4'!O225</f>
        <v>0</v>
      </c>
      <c r="P228" s="31">
        <f>'октябрь 2014г. по 6-10'!P228+'октябрь 2014г. по 0,4'!P225</f>
        <v>0</v>
      </c>
      <c r="Q228" s="31">
        <f>'октябрь 2014г. по 6-10'!Q228+'октябрь 2014г. по 0,4'!Q225</f>
        <v>0</v>
      </c>
    </row>
    <row r="229" spans="1:17" ht="12.75" customHeight="1" x14ac:dyDescent="0.2">
      <c r="A229" s="18"/>
      <c r="B229" s="53"/>
      <c r="C229" s="50" t="s">
        <v>291</v>
      </c>
      <c r="D229" s="31">
        <f>'октябрь 2014г. по 6-10'!D229+'октябрь 2014г. по 0,4'!D226</f>
        <v>0</v>
      </c>
      <c r="E229" s="31">
        <f>'октябрь 2014г. по 6-10'!E229+'октябрь 2014г. по 0,4'!E226</f>
        <v>0</v>
      </c>
      <c r="F229" s="31">
        <f>'октябрь 2014г. по 6-10'!F229+'октябрь 2014г. по 0,4'!F226</f>
        <v>0</v>
      </c>
      <c r="G229" s="31">
        <f>'октябрь 2014г. по 6-10'!G229+'октябрь 2014г. по 0,4'!G226</f>
        <v>0</v>
      </c>
      <c r="H229" s="31">
        <f>'октябрь 2014г. по 6-10'!H229+'октябрь 2014г. по 0,4'!H226</f>
        <v>0</v>
      </c>
      <c r="I229" s="31">
        <f>'октябрь 2014г. по 6-10'!I229+'октябрь 2014г. по 0,4'!I226</f>
        <v>0</v>
      </c>
      <c r="J229" s="31">
        <f>'октябрь 2014г. по 6-10'!J229+'октябрь 2014г. по 0,4'!J226</f>
        <v>0</v>
      </c>
      <c r="K229" s="31">
        <f>'октябрь 2014г. по 6-10'!K229+'октябрь 2014г. по 0,4'!K226</f>
        <v>0</v>
      </c>
      <c r="L229" s="31">
        <f>'октябрь 2014г. по 6-10'!L229+'октябрь 2014г. по 0,4'!L226</f>
        <v>0</v>
      </c>
      <c r="M229" s="31">
        <f>'октябрь 2014г. по 6-10'!M229+'октябрь 2014г. по 0,4'!M226</f>
        <v>0</v>
      </c>
      <c r="N229" s="31">
        <f>'октябрь 2014г. по 6-10'!N229+'октябрь 2014г. по 0,4'!N226</f>
        <v>0</v>
      </c>
      <c r="O229" s="31">
        <f>'октябрь 2014г. по 6-10'!O229+'октябрь 2014г. по 0,4'!O226</f>
        <v>0</v>
      </c>
      <c r="P229" s="31">
        <f>'октябрь 2014г. по 6-10'!P229+'октябрь 2014г. по 0,4'!P226</f>
        <v>0</v>
      </c>
      <c r="Q229" s="31">
        <f>'октябрь 2014г. по 6-10'!Q229+'октябрь 2014г. по 0,4'!Q226</f>
        <v>0</v>
      </c>
    </row>
    <row r="230" spans="1:17" ht="12.75" customHeight="1" x14ac:dyDescent="0.2">
      <c r="A230" s="18"/>
      <c r="B230" s="53"/>
      <c r="C230" s="50" t="s">
        <v>292</v>
      </c>
      <c r="D230" s="31">
        <f>'октябрь 2014г. по 6-10'!D230+'октябрь 2014г. по 0,4'!D227</f>
        <v>1</v>
      </c>
      <c r="E230" s="31">
        <f>'октябрь 2014г. по 6-10'!E230+'октябрь 2014г. по 0,4'!E227</f>
        <v>15</v>
      </c>
      <c r="F230" s="31">
        <f>'октябрь 2014г. по 6-10'!F230+'октябрь 2014г. по 0,4'!F227</f>
        <v>1</v>
      </c>
      <c r="G230" s="31">
        <f>'октябрь 2014г. по 6-10'!G230+'октябрь 2014г. по 0,4'!G227</f>
        <v>15</v>
      </c>
      <c r="H230" s="31">
        <f>'октябрь 2014г. по 6-10'!H230+'октябрь 2014г. по 0,4'!H227</f>
        <v>0</v>
      </c>
      <c r="I230" s="31">
        <f>'октябрь 2014г. по 6-10'!I230+'октябрь 2014г. по 0,4'!I227</f>
        <v>0</v>
      </c>
      <c r="J230" s="31">
        <f>'октябрь 2014г. по 6-10'!J230+'октябрь 2014г. по 0,4'!J227</f>
        <v>0</v>
      </c>
      <c r="K230" s="31">
        <f>'октябрь 2014г. по 6-10'!K230+'октябрь 2014г. по 0,4'!K227</f>
        <v>0</v>
      </c>
      <c r="L230" s="31">
        <f>'октябрь 2014г. по 6-10'!L230+'октябрь 2014г. по 0,4'!L227</f>
        <v>0</v>
      </c>
      <c r="M230" s="31">
        <f>'октябрь 2014г. по 6-10'!M230+'октябрь 2014г. по 0,4'!M227</f>
        <v>0</v>
      </c>
      <c r="N230" s="31">
        <f>'октябрь 2014г. по 6-10'!N230+'октябрь 2014г. по 0,4'!N227</f>
        <v>0</v>
      </c>
      <c r="O230" s="31">
        <f>'октябрь 2014г. по 6-10'!O230+'октябрь 2014г. по 0,4'!O227</f>
        <v>0</v>
      </c>
      <c r="P230" s="31">
        <f>'октябрь 2014г. по 6-10'!P230+'октябрь 2014г. по 0,4'!P227</f>
        <v>0</v>
      </c>
      <c r="Q230" s="31">
        <f>'октябрь 2014г. по 6-10'!Q230+'октябрь 2014г. по 0,4'!Q227</f>
        <v>0</v>
      </c>
    </row>
    <row r="231" spans="1:17" ht="12.75" customHeight="1" x14ac:dyDescent="0.2">
      <c r="A231" s="18"/>
      <c r="B231" s="53"/>
      <c r="C231" s="50" t="s">
        <v>293</v>
      </c>
      <c r="D231" s="31">
        <f>'октябрь 2014г. по 6-10'!D231+'октябрь 2014г. по 0,4'!D228</f>
        <v>0</v>
      </c>
      <c r="E231" s="31">
        <f>'октябрь 2014г. по 6-10'!E231+'октябрь 2014г. по 0,4'!E228</f>
        <v>0</v>
      </c>
      <c r="F231" s="31">
        <f>'октябрь 2014г. по 6-10'!F231+'октябрь 2014г. по 0,4'!F228</f>
        <v>0</v>
      </c>
      <c r="G231" s="31">
        <f>'октябрь 2014г. по 6-10'!G231+'октябрь 2014г. по 0,4'!G228</f>
        <v>0</v>
      </c>
      <c r="H231" s="31">
        <f>'октябрь 2014г. по 6-10'!H231+'октябрь 2014г. по 0,4'!H228</f>
        <v>0</v>
      </c>
      <c r="I231" s="31">
        <f>'октябрь 2014г. по 6-10'!I231+'октябрь 2014г. по 0,4'!I228</f>
        <v>0</v>
      </c>
      <c r="J231" s="31">
        <f>'октябрь 2014г. по 6-10'!J231+'октябрь 2014г. по 0,4'!J228</f>
        <v>0</v>
      </c>
      <c r="K231" s="31">
        <f>'октябрь 2014г. по 6-10'!K231+'октябрь 2014г. по 0,4'!K228</f>
        <v>0</v>
      </c>
      <c r="L231" s="31">
        <f>'октябрь 2014г. по 6-10'!L231+'октябрь 2014г. по 0,4'!L228</f>
        <v>0</v>
      </c>
      <c r="M231" s="31">
        <f>'октябрь 2014г. по 6-10'!M231+'октябрь 2014г. по 0,4'!M228</f>
        <v>0</v>
      </c>
      <c r="N231" s="31">
        <f>'октябрь 2014г. по 6-10'!N231+'октябрь 2014г. по 0,4'!N228</f>
        <v>0</v>
      </c>
      <c r="O231" s="31">
        <f>'октябрь 2014г. по 6-10'!O231+'октябрь 2014г. по 0,4'!O228</f>
        <v>0</v>
      </c>
      <c r="P231" s="31">
        <f>'октябрь 2014г. по 6-10'!P231+'октябрь 2014г. по 0,4'!P228</f>
        <v>0</v>
      </c>
      <c r="Q231" s="31">
        <f>'октябрь 2014г. по 6-10'!Q231+'октябрь 2014г. по 0,4'!Q228</f>
        <v>0</v>
      </c>
    </row>
    <row r="232" spans="1:17" ht="12.75" customHeight="1" x14ac:dyDescent="0.2">
      <c r="A232" s="18"/>
      <c r="B232" s="53"/>
      <c r="C232" s="50" t="s">
        <v>294</v>
      </c>
      <c r="D232" s="31">
        <f>'октябрь 2014г. по 6-10'!D232+'октябрь 2014г. по 0,4'!D229</f>
        <v>18</v>
      </c>
      <c r="E232" s="31">
        <f>'октябрь 2014г. по 6-10'!E232+'октябрь 2014г. по 0,4'!E229</f>
        <v>239</v>
      </c>
      <c r="F232" s="31">
        <f>'октябрь 2014г. по 6-10'!F232+'октябрь 2014г. по 0,4'!F229</f>
        <v>8</v>
      </c>
      <c r="G232" s="31">
        <f>'октябрь 2014г. по 6-10'!G232+'октябрь 2014г. по 0,4'!G229</f>
        <v>113</v>
      </c>
      <c r="H232" s="31">
        <f>'октябрь 2014г. по 6-10'!H232+'октябрь 2014г. по 0,4'!H229</f>
        <v>0</v>
      </c>
      <c r="I232" s="31">
        <f>'октябрь 2014г. по 6-10'!I232+'октябрь 2014г. по 0,4'!I229</f>
        <v>0</v>
      </c>
      <c r="J232" s="31">
        <f>'октябрь 2014г. по 6-10'!J232+'октябрь 2014г. по 0,4'!J229</f>
        <v>0</v>
      </c>
      <c r="K232" s="31">
        <f>'октябрь 2014г. по 6-10'!K232+'октябрь 2014г. по 0,4'!K229</f>
        <v>0</v>
      </c>
      <c r="L232" s="31">
        <f>'октябрь 2014г. по 6-10'!L232+'октябрь 2014г. по 0,4'!L229</f>
        <v>0</v>
      </c>
      <c r="M232" s="31">
        <f>'октябрь 2014г. по 6-10'!M232+'октябрь 2014г. по 0,4'!M229</f>
        <v>0</v>
      </c>
      <c r="N232" s="31">
        <f>'октябрь 2014г. по 6-10'!N232+'октябрь 2014г. по 0,4'!N229</f>
        <v>0</v>
      </c>
      <c r="O232" s="31">
        <f>'октябрь 2014г. по 6-10'!O232+'октябрь 2014г. по 0,4'!O229</f>
        <v>0</v>
      </c>
      <c r="P232" s="31">
        <f>'октябрь 2014г. по 6-10'!P232+'октябрь 2014г. по 0,4'!P229</f>
        <v>0</v>
      </c>
      <c r="Q232" s="31">
        <f>'октябрь 2014г. по 6-10'!Q232+'октябрь 2014г. по 0,4'!Q229</f>
        <v>0</v>
      </c>
    </row>
    <row r="233" spans="1:17" ht="12.75" customHeight="1" x14ac:dyDescent="0.2">
      <c r="A233" s="18"/>
      <c r="B233" s="53"/>
      <c r="C233" s="50" t="s">
        <v>295</v>
      </c>
      <c r="D233" s="31">
        <f>'октябрь 2014г. по 6-10'!D233+'октябрь 2014г. по 0,4'!D230</f>
        <v>2</v>
      </c>
      <c r="E233" s="31">
        <f>'октябрь 2014г. по 6-10'!E233+'октябрь 2014г. по 0,4'!E230</f>
        <v>20</v>
      </c>
      <c r="F233" s="31">
        <f>'октябрь 2014г. по 6-10'!F233+'октябрь 2014г. по 0,4'!F230</f>
        <v>0</v>
      </c>
      <c r="G233" s="31">
        <f>'октябрь 2014г. по 6-10'!G233+'октябрь 2014г. по 0,4'!G230</f>
        <v>0</v>
      </c>
      <c r="H233" s="31">
        <f>'октябрь 2014г. по 6-10'!H233+'октябрь 2014г. по 0,4'!H230</f>
        <v>0</v>
      </c>
      <c r="I233" s="31">
        <f>'октябрь 2014г. по 6-10'!I233+'октябрь 2014г. по 0,4'!I230</f>
        <v>0</v>
      </c>
      <c r="J233" s="31">
        <f>'октябрь 2014г. по 6-10'!J233+'октябрь 2014г. по 0,4'!J230</f>
        <v>0</v>
      </c>
      <c r="K233" s="31">
        <f>'октябрь 2014г. по 6-10'!K233+'октябрь 2014г. по 0,4'!K230</f>
        <v>0</v>
      </c>
      <c r="L233" s="31">
        <f>'октябрь 2014г. по 6-10'!L233+'октябрь 2014г. по 0,4'!L230</f>
        <v>0</v>
      </c>
      <c r="M233" s="31">
        <f>'октябрь 2014г. по 6-10'!M233+'октябрь 2014г. по 0,4'!M230</f>
        <v>0</v>
      </c>
      <c r="N233" s="31">
        <f>'октябрь 2014г. по 6-10'!N233+'октябрь 2014г. по 0,4'!N230</f>
        <v>0</v>
      </c>
      <c r="O233" s="31">
        <f>'октябрь 2014г. по 6-10'!O233+'октябрь 2014г. по 0,4'!O230</f>
        <v>0</v>
      </c>
      <c r="P233" s="31">
        <f>'октябрь 2014г. по 6-10'!P233+'октябрь 2014г. по 0,4'!P230</f>
        <v>0</v>
      </c>
      <c r="Q233" s="31">
        <f>'октябрь 2014г. по 6-10'!Q233+'октябрь 2014г. по 0,4'!Q230</f>
        <v>0</v>
      </c>
    </row>
    <row r="234" spans="1:17" ht="12.75" customHeight="1" x14ac:dyDescent="0.2">
      <c r="A234" s="18"/>
      <c r="B234" s="53"/>
      <c r="C234" s="50" t="s">
        <v>296</v>
      </c>
      <c r="D234" s="31">
        <f>'октябрь 2014г. по 6-10'!D234+'октябрь 2014г. по 0,4'!D231</f>
        <v>9</v>
      </c>
      <c r="E234" s="31">
        <f>'октябрь 2014г. по 6-10'!E234+'октябрь 2014г. по 0,4'!E231</f>
        <v>74</v>
      </c>
      <c r="F234" s="31">
        <f>'октябрь 2014г. по 6-10'!F234+'октябрь 2014г. по 0,4'!F231</f>
        <v>5</v>
      </c>
      <c r="G234" s="31">
        <f>'октябрь 2014г. по 6-10'!G234+'октябрь 2014г. по 0,4'!G231</f>
        <v>59</v>
      </c>
      <c r="H234" s="31">
        <f>'октябрь 2014г. по 6-10'!H234+'октябрь 2014г. по 0,4'!H231</f>
        <v>0</v>
      </c>
      <c r="I234" s="31">
        <f>'октябрь 2014г. по 6-10'!I234+'октябрь 2014г. по 0,4'!I231</f>
        <v>0</v>
      </c>
      <c r="J234" s="31">
        <f>'октябрь 2014г. по 6-10'!J234+'октябрь 2014г. по 0,4'!J231</f>
        <v>0</v>
      </c>
      <c r="K234" s="31">
        <f>'октябрь 2014г. по 6-10'!K234+'октябрь 2014г. по 0,4'!K231</f>
        <v>0</v>
      </c>
      <c r="L234" s="31">
        <f>'октябрь 2014г. по 6-10'!L234+'октябрь 2014г. по 0,4'!L231</f>
        <v>0</v>
      </c>
      <c r="M234" s="31">
        <f>'октябрь 2014г. по 6-10'!M234+'октябрь 2014г. по 0,4'!M231</f>
        <v>0</v>
      </c>
      <c r="N234" s="31">
        <f>'октябрь 2014г. по 6-10'!N234+'октябрь 2014г. по 0,4'!N231</f>
        <v>0</v>
      </c>
      <c r="O234" s="31">
        <f>'октябрь 2014г. по 6-10'!O234+'октябрь 2014г. по 0,4'!O231</f>
        <v>0</v>
      </c>
      <c r="P234" s="31">
        <f>'октябрь 2014г. по 6-10'!P234+'октябрь 2014г. по 0,4'!P231</f>
        <v>0</v>
      </c>
      <c r="Q234" s="31">
        <f>'октябрь 2014г. по 6-10'!Q234+'октябрь 2014г. по 0,4'!Q231</f>
        <v>0</v>
      </c>
    </row>
    <row r="235" spans="1:17" ht="12.75" customHeight="1" x14ac:dyDescent="0.2">
      <c r="A235" s="18"/>
      <c r="B235" s="53"/>
      <c r="C235" s="50" t="s">
        <v>297</v>
      </c>
      <c r="D235" s="31">
        <f>'октябрь 2014г. по 6-10'!D235+'октябрь 2014г. по 0,4'!D232</f>
        <v>0</v>
      </c>
      <c r="E235" s="31">
        <f>'октябрь 2014г. по 6-10'!E235+'октябрь 2014г. по 0,4'!E232</f>
        <v>0</v>
      </c>
      <c r="F235" s="31">
        <f>'октябрь 2014г. по 6-10'!F235+'октябрь 2014г. по 0,4'!F232</f>
        <v>0</v>
      </c>
      <c r="G235" s="31">
        <f>'октябрь 2014г. по 6-10'!G235+'октябрь 2014г. по 0,4'!G232</f>
        <v>0</v>
      </c>
      <c r="H235" s="31">
        <f>'октябрь 2014г. по 6-10'!H235+'октябрь 2014г. по 0,4'!H232</f>
        <v>0</v>
      </c>
      <c r="I235" s="31">
        <f>'октябрь 2014г. по 6-10'!I235+'октябрь 2014г. по 0,4'!I232</f>
        <v>0</v>
      </c>
      <c r="J235" s="31">
        <f>'октябрь 2014г. по 6-10'!J235+'октябрь 2014г. по 0,4'!J232</f>
        <v>0</v>
      </c>
      <c r="K235" s="31">
        <f>'октябрь 2014г. по 6-10'!K235+'октябрь 2014г. по 0,4'!K232</f>
        <v>0</v>
      </c>
      <c r="L235" s="31">
        <f>'октябрь 2014г. по 6-10'!L235+'октябрь 2014г. по 0,4'!L232</f>
        <v>0</v>
      </c>
      <c r="M235" s="31">
        <f>'октябрь 2014г. по 6-10'!M235+'октябрь 2014г. по 0,4'!M232</f>
        <v>0</v>
      </c>
      <c r="N235" s="31">
        <f>'октябрь 2014г. по 6-10'!N235+'октябрь 2014г. по 0,4'!N232</f>
        <v>0</v>
      </c>
      <c r="O235" s="31">
        <f>'октябрь 2014г. по 6-10'!O235+'октябрь 2014г. по 0,4'!O232</f>
        <v>0</v>
      </c>
      <c r="P235" s="31">
        <f>'октябрь 2014г. по 6-10'!P235+'октябрь 2014г. по 0,4'!P232</f>
        <v>0</v>
      </c>
      <c r="Q235" s="31">
        <f>'октябрь 2014г. по 6-10'!Q235+'октябрь 2014г. по 0,4'!Q232</f>
        <v>0</v>
      </c>
    </row>
    <row r="236" spans="1:17" ht="12.75" customHeight="1" x14ac:dyDescent="0.2">
      <c r="A236" s="18"/>
      <c r="B236" s="53"/>
      <c r="C236" s="50" t="s">
        <v>298</v>
      </c>
      <c r="D236" s="31">
        <f>'октябрь 2014г. по 6-10'!D236+'октябрь 2014г. по 0,4'!D233</f>
        <v>7</v>
      </c>
      <c r="E236" s="31">
        <f>'октябрь 2014г. по 6-10'!E236+'октябрь 2014г. по 0,4'!E233</f>
        <v>45</v>
      </c>
      <c r="F236" s="31">
        <f>'октябрь 2014г. по 6-10'!F236+'октябрь 2014г. по 0,4'!F233</f>
        <v>0</v>
      </c>
      <c r="G236" s="31">
        <f>'октябрь 2014г. по 6-10'!G236+'октябрь 2014г. по 0,4'!G233</f>
        <v>0</v>
      </c>
      <c r="H236" s="31">
        <f>'октябрь 2014г. по 6-10'!H236+'октябрь 2014г. по 0,4'!H233</f>
        <v>0</v>
      </c>
      <c r="I236" s="31">
        <f>'октябрь 2014г. по 6-10'!I236+'октябрь 2014г. по 0,4'!I233</f>
        <v>0</v>
      </c>
      <c r="J236" s="31">
        <f>'октябрь 2014г. по 6-10'!J236+'октябрь 2014г. по 0,4'!J233</f>
        <v>0</v>
      </c>
      <c r="K236" s="31">
        <f>'октябрь 2014г. по 6-10'!K236+'октябрь 2014г. по 0,4'!K233</f>
        <v>0</v>
      </c>
      <c r="L236" s="31">
        <f>'октябрь 2014г. по 6-10'!L236+'октябрь 2014г. по 0,4'!L233</f>
        <v>0</v>
      </c>
      <c r="M236" s="31">
        <f>'октябрь 2014г. по 6-10'!M236+'октябрь 2014г. по 0,4'!M233</f>
        <v>0</v>
      </c>
      <c r="N236" s="31">
        <f>'октябрь 2014г. по 6-10'!N236+'октябрь 2014г. по 0,4'!N233</f>
        <v>0</v>
      </c>
      <c r="O236" s="31">
        <f>'октябрь 2014г. по 6-10'!O236+'октябрь 2014г. по 0,4'!O233</f>
        <v>0</v>
      </c>
      <c r="P236" s="31">
        <f>'октябрь 2014г. по 6-10'!P236+'октябрь 2014г. по 0,4'!P233</f>
        <v>0</v>
      </c>
      <c r="Q236" s="31">
        <f>'октябрь 2014г. по 6-10'!Q236+'октябрь 2014г. по 0,4'!Q233</f>
        <v>0</v>
      </c>
    </row>
    <row r="237" spans="1:17" ht="12.75" customHeight="1" x14ac:dyDescent="0.2">
      <c r="A237" s="18"/>
      <c r="B237" s="53"/>
      <c r="C237" s="50" t="s">
        <v>299</v>
      </c>
      <c r="D237" s="31">
        <f>'октябрь 2014г. по 6-10'!D237+'октябрь 2014г. по 0,4'!D234</f>
        <v>5</v>
      </c>
      <c r="E237" s="31">
        <f>'октябрь 2014г. по 6-10'!E237+'октябрь 2014г. по 0,4'!E234</f>
        <v>25</v>
      </c>
      <c r="F237" s="31">
        <f>'октябрь 2014г. по 6-10'!F237+'октябрь 2014г. по 0,4'!F234</f>
        <v>0</v>
      </c>
      <c r="G237" s="31">
        <f>'октябрь 2014г. по 6-10'!G237+'октябрь 2014г. по 0,4'!G234</f>
        <v>0</v>
      </c>
      <c r="H237" s="31">
        <f>'октябрь 2014г. по 6-10'!H237+'октябрь 2014г. по 0,4'!H234</f>
        <v>0</v>
      </c>
      <c r="I237" s="31">
        <f>'октябрь 2014г. по 6-10'!I237+'октябрь 2014г. по 0,4'!I234</f>
        <v>0</v>
      </c>
      <c r="J237" s="31">
        <f>'октябрь 2014г. по 6-10'!J237+'октябрь 2014г. по 0,4'!J234</f>
        <v>0</v>
      </c>
      <c r="K237" s="31">
        <f>'октябрь 2014г. по 6-10'!K237+'октябрь 2014г. по 0,4'!K234</f>
        <v>0</v>
      </c>
      <c r="L237" s="31">
        <f>'октябрь 2014г. по 6-10'!L237+'октябрь 2014г. по 0,4'!L234</f>
        <v>0</v>
      </c>
      <c r="M237" s="31">
        <f>'октябрь 2014г. по 6-10'!M237+'октябрь 2014г. по 0,4'!M234</f>
        <v>0</v>
      </c>
      <c r="N237" s="31">
        <f>'октябрь 2014г. по 6-10'!N237+'октябрь 2014г. по 0,4'!N234</f>
        <v>0</v>
      </c>
      <c r="O237" s="31">
        <f>'октябрь 2014г. по 6-10'!O237+'октябрь 2014г. по 0,4'!O234</f>
        <v>0</v>
      </c>
      <c r="P237" s="31">
        <f>'октябрь 2014г. по 6-10'!P237+'октябрь 2014г. по 0,4'!P234</f>
        <v>0</v>
      </c>
      <c r="Q237" s="31">
        <f>'октябрь 2014г. по 6-10'!Q237+'октябрь 2014г. по 0,4'!Q234</f>
        <v>0</v>
      </c>
    </row>
    <row r="238" spans="1:17" ht="12.75" customHeight="1" x14ac:dyDescent="0.2">
      <c r="A238" s="18"/>
      <c r="B238" s="53"/>
      <c r="C238" s="50" t="s">
        <v>300</v>
      </c>
      <c r="D238" s="31">
        <f>'октябрь 2014г. по 6-10'!D238+'октябрь 2014г. по 0,4'!D235</f>
        <v>2</v>
      </c>
      <c r="E238" s="31">
        <f>'октябрь 2014г. по 6-10'!E238+'октябрь 2014г. по 0,4'!E235</f>
        <v>58</v>
      </c>
      <c r="F238" s="31">
        <f>'октябрь 2014г. по 6-10'!F238+'октябрь 2014г. по 0,4'!F235</f>
        <v>2</v>
      </c>
      <c r="G238" s="31">
        <f>'октябрь 2014г. по 6-10'!G238+'октябрь 2014г. по 0,4'!G235</f>
        <v>58</v>
      </c>
      <c r="H238" s="31">
        <f>'октябрь 2014г. по 6-10'!H238+'октябрь 2014г. по 0,4'!H235</f>
        <v>0</v>
      </c>
      <c r="I238" s="31">
        <f>'октябрь 2014г. по 6-10'!I238+'октябрь 2014г. по 0,4'!I235</f>
        <v>0</v>
      </c>
      <c r="J238" s="31">
        <f>'октябрь 2014г. по 6-10'!J238+'октябрь 2014г. по 0,4'!J235</f>
        <v>0</v>
      </c>
      <c r="K238" s="31">
        <f>'октябрь 2014г. по 6-10'!K238+'октябрь 2014г. по 0,4'!K235</f>
        <v>0</v>
      </c>
      <c r="L238" s="31">
        <f>'октябрь 2014г. по 6-10'!L238+'октябрь 2014г. по 0,4'!L235</f>
        <v>0</v>
      </c>
      <c r="M238" s="31">
        <f>'октябрь 2014г. по 6-10'!M238+'октябрь 2014г. по 0,4'!M235</f>
        <v>0</v>
      </c>
      <c r="N238" s="31">
        <f>'октябрь 2014г. по 6-10'!N238+'октябрь 2014г. по 0,4'!N235</f>
        <v>0</v>
      </c>
      <c r="O238" s="31">
        <f>'октябрь 2014г. по 6-10'!O238+'октябрь 2014г. по 0,4'!O235</f>
        <v>0</v>
      </c>
      <c r="P238" s="31">
        <f>'октябрь 2014г. по 6-10'!P238+'октябрь 2014г. по 0,4'!P235</f>
        <v>0</v>
      </c>
      <c r="Q238" s="31">
        <f>'октябрь 2014г. по 6-10'!Q238+'октябрь 2014г. по 0,4'!Q235</f>
        <v>0</v>
      </c>
    </row>
    <row r="239" spans="1:17" ht="12.75" customHeight="1" x14ac:dyDescent="0.2">
      <c r="A239" s="18"/>
      <c r="B239" s="53"/>
      <c r="C239" s="50" t="s">
        <v>301</v>
      </c>
      <c r="D239" s="31">
        <f>'октябрь 2014г. по 6-10'!D239+'октябрь 2014г. по 0,4'!D236</f>
        <v>0</v>
      </c>
      <c r="E239" s="31">
        <f>'октябрь 2014г. по 6-10'!E239+'октябрь 2014г. по 0,4'!E236</f>
        <v>0</v>
      </c>
      <c r="F239" s="31">
        <f>'октябрь 2014г. по 6-10'!F239+'октябрь 2014г. по 0,4'!F236</f>
        <v>0</v>
      </c>
      <c r="G239" s="31">
        <f>'октябрь 2014г. по 6-10'!G239+'октябрь 2014г. по 0,4'!G236</f>
        <v>0</v>
      </c>
      <c r="H239" s="31">
        <f>'октябрь 2014г. по 6-10'!H239+'октябрь 2014г. по 0,4'!H236</f>
        <v>0</v>
      </c>
      <c r="I239" s="31">
        <f>'октябрь 2014г. по 6-10'!I239+'октябрь 2014г. по 0,4'!I236</f>
        <v>0</v>
      </c>
      <c r="J239" s="31">
        <f>'октябрь 2014г. по 6-10'!J239+'октябрь 2014г. по 0,4'!J236</f>
        <v>0</v>
      </c>
      <c r="K239" s="31">
        <f>'октябрь 2014г. по 6-10'!K239+'октябрь 2014г. по 0,4'!K236</f>
        <v>0</v>
      </c>
      <c r="L239" s="31">
        <f>'октябрь 2014г. по 6-10'!L239+'октябрь 2014г. по 0,4'!L236</f>
        <v>0</v>
      </c>
      <c r="M239" s="31">
        <f>'октябрь 2014г. по 6-10'!M239+'октябрь 2014г. по 0,4'!M236</f>
        <v>0</v>
      </c>
      <c r="N239" s="31">
        <f>'октябрь 2014г. по 6-10'!N239+'октябрь 2014г. по 0,4'!N236</f>
        <v>0</v>
      </c>
      <c r="O239" s="31">
        <f>'октябрь 2014г. по 6-10'!O239+'октябрь 2014г. по 0,4'!O236</f>
        <v>0</v>
      </c>
      <c r="P239" s="31">
        <f>'октябрь 2014г. по 6-10'!P239+'октябрь 2014г. по 0,4'!P236</f>
        <v>0</v>
      </c>
      <c r="Q239" s="31">
        <f>'октябрь 2014г. по 6-10'!Q239+'октябрь 2014г. по 0,4'!Q236</f>
        <v>0</v>
      </c>
    </row>
    <row r="240" spans="1:17" ht="12.75" customHeight="1" x14ac:dyDescent="0.2">
      <c r="A240" s="18"/>
      <c r="B240" s="53"/>
      <c r="C240" s="50" t="s">
        <v>302</v>
      </c>
      <c r="D240" s="31">
        <f>'октябрь 2014г. по 6-10'!D240+'октябрь 2014г. по 0,4'!D237</f>
        <v>47</v>
      </c>
      <c r="E240" s="31">
        <f>'октябрь 2014г. по 6-10'!E240+'октябрь 2014г. по 0,4'!E237</f>
        <v>375.5</v>
      </c>
      <c r="F240" s="31">
        <f>'октябрь 2014г. по 6-10'!F240+'октябрь 2014г. по 0,4'!F237</f>
        <v>15</v>
      </c>
      <c r="G240" s="31">
        <f>'октябрь 2014г. по 6-10'!G240+'октябрь 2014г. по 0,4'!G237</f>
        <v>65</v>
      </c>
      <c r="H240" s="31">
        <f>'октябрь 2014г. по 6-10'!H240+'октябрь 2014г. по 0,4'!H237</f>
        <v>0</v>
      </c>
      <c r="I240" s="31">
        <f>'октябрь 2014г. по 6-10'!I240+'октябрь 2014г. по 0,4'!I237</f>
        <v>0</v>
      </c>
      <c r="J240" s="31">
        <f>'октябрь 2014г. по 6-10'!J240+'октябрь 2014г. по 0,4'!J237</f>
        <v>9</v>
      </c>
      <c r="K240" s="31">
        <f>'октябрь 2014г. по 6-10'!K240+'октябрь 2014г. по 0,4'!K237</f>
        <v>43</v>
      </c>
      <c r="L240" s="31">
        <f>'октябрь 2014г. по 6-10'!L240+'октябрь 2014г. по 0,4'!L237</f>
        <v>0</v>
      </c>
      <c r="M240" s="31">
        <f>'октябрь 2014г. по 6-10'!M240+'октябрь 2014г. по 0,4'!M237</f>
        <v>0</v>
      </c>
      <c r="N240" s="31">
        <f>'октябрь 2014г. по 6-10'!N240+'октябрь 2014г. по 0,4'!N237</f>
        <v>0</v>
      </c>
      <c r="O240" s="31">
        <f>'октябрь 2014г. по 6-10'!O240+'октябрь 2014г. по 0,4'!O237</f>
        <v>0</v>
      </c>
      <c r="P240" s="31">
        <f>'октябрь 2014г. по 6-10'!P240+'октябрь 2014г. по 0,4'!P237</f>
        <v>0</v>
      </c>
      <c r="Q240" s="31">
        <f>'октябрь 2014г. по 6-10'!Q240+'октябрь 2014г. по 0,4'!Q237</f>
        <v>0</v>
      </c>
    </row>
    <row r="241" spans="1:17" ht="12.75" customHeight="1" x14ac:dyDescent="0.2">
      <c r="A241" s="18"/>
      <c r="B241" s="53"/>
      <c r="C241" s="50" t="s">
        <v>303</v>
      </c>
      <c r="D241" s="31">
        <f>'октябрь 2014г. по 6-10'!D241+'октябрь 2014г. по 0,4'!D238</f>
        <v>6</v>
      </c>
      <c r="E241" s="31">
        <f>'октябрь 2014г. по 6-10'!E241+'октябрь 2014г. по 0,4'!E238</f>
        <v>42</v>
      </c>
      <c r="F241" s="31">
        <f>'октябрь 2014г. по 6-10'!F241+'октябрь 2014г. по 0,4'!F238</f>
        <v>6</v>
      </c>
      <c r="G241" s="31">
        <f>'октябрь 2014г. по 6-10'!G241+'октябрь 2014г. по 0,4'!G238</f>
        <v>42</v>
      </c>
      <c r="H241" s="31">
        <f>'октябрь 2014г. по 6-10'!H241+'октябрь 2014г. по 0,4'!H238</f>
        <v>0</v>
      </c>
      <c r="I241" s="31">
        <f>'октябрь 2014г. по 6-10'!I241+'октябрь 2014г. по 0,4'!I238</f>
        <v>0</v>
      </c>
      <c r="J241" s="31">
        <f>'октябрь 2014г. по 6-10'!J241+'октябрь 2014г. по 0,4'!J238</f>
        <v>0</v>
      </c>
      <c r="K241" s="31">
        <f>'октябрь 2014г. по 6-10'!K241+'октябрь 2014г. по 0,4'!K238</f>
        <v>0</v>
      </c>
      <c r="L241" s="31">
        <f>'октябрь 2014г. по 6-10'!L241+'октябрь 2014г. по 0,4'!L238</f>
        <v>0</v>
      </c>
      <c r="M241" s="31">
        <f>'октябрь 2014г. по 6-10'!M241+'октябрь 2014г. по 0,4'!M238</f>
        <v>0</v>
      </c>
      <c r="N241" s="31">
        <f>'октябрь 2014г. по 6-10'!N241+'октябрь 2014г. по 0,4'!N238</f>
        <v>0</v>
      </c>
      <c r="O241" s="31">
        <f>'октябрь 2014г. по 6-10'!O241+'октябрь 2014г. по 0,4'!O238</f>
        <v>0</v>
      </c>
      <c r="P241" s="31">
        <f>'октябрь 2014г. по 6-10'!P241+'октябрь 2014г. по 0,4'!P238</f>
        <v>0</v>
      </c>
      <c r="Q241" s="31">
        <f>'октябрь 2014г. по 6-10'!Q241+'октябрь 2014г. по 0,4'!Q238</f>
        <v>0</v>
      </c>
    </row>
    <row r="242" spans="1:17" ht="12.75" customHeight="1" x14ac:dyDescent="0.2">
      <c r="A242" s="18"/>
      <c r="B242" s="53"/>
      <c r="C242" s="50" t="s">
        <v>359</v>
      </c>
      <c r="D242" s="31">
        <f>'октябрь 2014г. по 6-10'!D242+'октябрь 2014г. по 0,4'!D239</f>
        <v>1</v>
      </c>
      <c r="E242" s="31">
        <f>'октябрь 2014г. по 6-10'!E242+'октябрь 2014г. по 0,4'!E239</f>
        <v>8</v>
      </c>
      <c r="F242" s="31">
        <f>'октябрь 2014г. по 6-10'!F242+'октябрь 2014г. по 0,4'!F239</f>
        <v>1</v>
      </c>
      <c r="G242" s="31">
        <f>'октябрь 2014г. по 6-10'!G242+'октябрь 2014г. по 0,4'!G239</f>
        <v>8</v>
      </c>
      <c r="H242" s="31">
        <f>'октябрь 2014г. по 6-10'!H242+'октябрь 2014г. по 0,4'!H239</f>
        <v>0</v>
      </c>
      <c r="I242" s="31">
        <f>'октябрь 2014г. по 6-10'!I242+'октябрь 2014г. по 0,4'!I239</f>
        <v>0</v>
      </c>
      <c r="J242" s="31">
        <f>'октябрь 2014г. по 6-10'!J242+'октябрь 2014г. по 0,4'!J239</f>
        <v>0</v>
      </c>
      <c r="K242" s="31">
        <f>'октябрь 2014г. по 6-10'!K242+'октябрь 2014г. по 0,4'!K239</f>
        <v>0</v>
      </c>
      <c r="L242" s="31">
        <f>'октябрь 2014г. по 6-10'!L242+'октябрь 2014г. по 0,4'!L239</f>
        <v>0</v>
      </c>
      <c r="M242" s="31">
        <f>'октябрь 2014г. по 6-10'!M242+'октябрь 2014г. по 0,4'!M239</f>
        <v>0</v>
      </c>
      <c r="N242" s="31">
        <f>'октябрь 2014г. по 6-10'!N242+'октябрь 2014г. по 0,4'!N239</f>
        <v>0</v>
      </c>
      <c r="O242" s="31">
        <f>'октябрь 2014г. по 6-10'!O242+'октябрь 2014г. по 0,4'!O239</f>
        <v>0</v>
      </c>
      <c r="P242" s="31">
        <f>'октябрь 2014г. по 6-10'!P242+'октябрь 2014г. по 0,4'!P239</f>
        <v>0</v>
      </c>
      <c r="Q242" s="31">
        <f>'октябрь 2014г. по 6-10'!Q242+'октябрь 2014г. по 0,4'!Q239</f>
        <v>0</v>
      </c>
    </row>
    <row r="243" spans="1:17" ht="12.75" customHeight="1" x14ac:dyDescent="0.2">
      <c r="A243" s="18"/>
      <c r="B243" s="53"/>
      <c r="C243" s="50" t="s">
        <v>304</v>
      </c>
      <c r="D243" s="31">
        <f>'октябрь 2014г. по 6-10'!D243+'октябрь 2014г. по 0,4'!D240</f>
        <v>15</v>
      </c>
      <c r="E243" s="31">
        <f>'октябрь 2014г. по 6-10'!E243+'октябрь 2014г. по 0,4'!E240</f>
        <v>101</v>
      </c>
      <c r="F243" s="31">
        <f>'октябрь 2014г. по 6-10'!F243+'октябрь 2014г. по 0,4'!F240</f>
        <v>8</v>
      </c>
      <c r="G243" s="31">
        <f>'октябрь 2014г. по 6-10'!G243+'октябрь 2014г. по 0,4'!G240</f>
        <v>79</v>
      </c>
      <c r="H243" s="31">
        <f>'октябрь 2014г. по 6-10'!H243+'октябрь 2014г. по 0,4'!H240</f>
        <v>0</v>
      </c>
      <c r="I243" s="31">
        <f>'октябрь 2014г. по 6-10'!I243+'октябрь 2014г. по 0,4'!I240</f>
        <v>0</v>
      </c>
      <c r="J243" s="31">
        <f>'октябрь 2014г. по 6-10'!J243+'октябрь 2014г. по 0,4'!J240</f>
        <v>0</v>
      </c>
      <c r="K243" s="31">
        <f>'октябрь 2014г. по 6-10'!K243+'октябрь 2014г. по 0,4'!K240</f>
        <v>0</v>
      </c>
      <c r="L243" s="31">
        <f>'октябрь 2014г. по 6-10'!L243+'октябрь 2014г. по 0,4'!L240</f>
        <v>0</v>
      </c>
      <c r="M243" s="31">
        <f>'октябрь 2014г. по 6-10'!M243+'октябрь 2014г. по 0,4'!M240</f>
        <v>0</v>
      </c>
      <c r="N243" s="31">
        <f>'октябрь 2014г. по 6-10'!N243+'октябрь 2014г. по 0,4'!N240</f>
        <v>0</v>
      </c>
      <c r="O243" s="31">
        <f>'октябрь 2014г. по 6-10'!O243+'октябрь 2014г. по 0,4'!O240</f>
        <v>0</v>
      </c>
      <c r="P243" s="31">
        <f>'октябрь 2014г. по 6-10'!P243+'октябрь 2014г. по 0,4'!P240</f>
        <v>0</v>
      </c>
      <c r="Q243" s="31">
        <f>'октябрь 2014г. по 6-10'!Q243+'октябрь 2014г. по 0,4'!Q240</f>
        <v>0</v>
      </c>
    </row>
    <row r="244" spans="1:17" ht="12.75" customHeight="1" x14ac:dyDescent="0.2">
      <c r="A244" s="18"/>
      <c r="B244" s="18"/>
      <c r="C244" s="20" t="s">
        <v>30</v>
      </c>
      <c r="D244" s="88">
        <f>SUM(D204:D243)</f>
        <v>313</v>
      </c>
      <c r="E244" s="88">
        <f t="shared" ref="E244:Q244" si="6">SUM(E204:E243)</f>
        <v>8292</v>
      </c>
      <c r="F244" s="88">
        <f t="shared" si="6"/>
        <v>130</v>
      </c>
      <c r="G244" s="88">
        <f t="shared" si="6"/>
        <v>1508.1000000000001</v>
      </c>
      <c r="H244" s="88">
        <f t="shared" si="6"/>
        <v>0</v>
      </c>
      <c r="I244" s="88">
        <f t="shared" si="6"/>
        <v>0</v>
      </c>
      <c r="J244" s="88">
        <f t="shared" si="6"/>
        <v>277</v>
      </c>
      <c r="K244" s="88">
        <f t="shared" si="6"/>
        <v>1989.2</v>
      </c>
      <c r="L244" s="88">
        <f t="shared" si="6"/>
        <v>0</v>
      </c>
      <c r="M244" s="88">
        <f t="shared" si="6"/>
        <v>0</v>
      </c>
      <c r="N244" s="88">
        <f t="shared" si="6"/>
        <v>0</v>
      </c>
      <c r="O244" s="88">
        <f t="shared" si="6"/>
        <v>0</v>
      </c>
      <c r="P244" s="88">
        <f t="shared" si="6"/>
        <v>0</v>
      </c>
      <c r="Q244" s="88">
        <f t="shared" si="6"/>
        <v>0</v>
      </c>
    </row>
    <row r="245" spans="1:17" ht="25.5" customHeight="1" x14ac:dyDescent="0.2">
      <c r="A245" s="14"/>
      <c r="B245" s="15"/>
      <c r="C245" s="23" t="s">
        <v>119</v>
      </c>
      <c r="D245" s="36">
        <f t="shared" ref="D245:Q245" si="7">SUM(D244+D202+D195+D185+D153+D102+D64)</f>
        <v>2189</v>
      </c>
      <c r="E245" s="36">
        <f t="shared" si="7"/>
        <v>73086</v>
      </c>
      <c r="F245" s="36">
        <f t="shared" si="7"/>
        <v>1366</v>
      </c>
      <c r="G245" s="36">
        <f t="shared" si="7"/>
        <v>29835.1</v>
      </c>
      <c r="H245" s="36">
        <f t="shared" si="7"/>
        <v>0</v>
      </c>
      <c r="I245" s="36">
        <f t="shared" si="7"/>
        <v>0</v>
      </c>
      <c r="J245" s="36">
        <f t="shared" si="7"/>
        <v>1774</v>
      </c>
      <c r="K245" s="36">
        <f t="shared" si="7"/>
        <v>19527.2</v>
      </c>
      <c r="L245" s="36">
        <f t="shared" si="7"/>
        <v>0</v>
      </c>
      <c r="M245" s="36">
        <f t="shared" si="7"/>
        <v>0</v>
      </c>
      <c r="N245" s="36">
        <f t="shared" si="7"/>
        <v>0</v>
      </c>
      <c r="O245" s="36">
        <f t="shared" si="7"/>
        <v>0</v>
      </c>
      <c r="P245" s="36">
        <f t="shared" si="7"/>
        <v>0</v>
      </c>
      <c r="Q245" s="36">
        <f t="shared" si="7"/>
        <v>0</v>
      </c>
    </row>
    <row r="246" spans="1:17" x14ac:dyDescent="0.2">
      <c r="A246" s="10" t="s">
        <v>10</v>
      </c>
      <c r="B246" s="119" t="s">
        <v>11</v>
      </c>
      <c r="C246" s="120"/>
      <c r="D246" s="37">
        <f t="shared" ref="D246" si="8">SUM(D245:D245)</f>
        <v>2189</v>
      </c>
      <c r="E246" s="38">
        <f t="shared" ref="E246:Q246" si="9">SUM(E245:E245)</f>
        <v>73086</v>
      </c>
      <c r="F246" s="37">
        <f t="shared" si="9"/>
        <v>1366</v>
      </c>
      <c r="G246" s="38">
        <f t="shared" si="9"/>
        <v>29835.1</v>
      </c>
      <c r="H246" s="38">
        <f t="shared" si="9"/>
        <v>0</v>
      </c>
      <c r="I246" s="38">
        <f t="shared" si="9"/>
        <v>0</v>
      </c>
      <c r="J246" s="38">
        <f t="shared" si="9"/>
        <v>1774</v>
      </c>
      <c r="K246" s="38">
        <f t="shared" si="9"/>
        <v>19527.2</v>
      </c>
      <c r="L246" s="38">
        <f t="shared" si="9"/>
        <v>0</v>
      </c>
      <c r="M246" s="38">
        <f t="shared" si="9"/>
        <v>0</v>
      </c>
      <c r="N246" s="38">
        <f t="shared" si="9"/>
        <v>0</v>
      </c>
      <c r="O246" s="38">
        <f t="shared" si="9"/>
        <v>0</v>
      </c>
      <c r="P246" s="38">
        <f t="shared" si="9"/>
        <v>0</v>
      </c>
      <c r="Q246" s="38">
        <f t="shared" si="9"/>
        <v>0</v>
      </c>
    </row>
    <row r="248" spans="1:17" x14ac:dyDescent="0.2">
      <c r="B248" t="s">
        <v>365</v>
      </c>
      <c r="G248" s="82"/>
    </row>
  </sheetData>
  <autoFilter ref="C21:C246"/>
  <customSheetViews>
    <customSheetView guid="{511E85F2-317A-4F57-8889-9FAECC5DF910}" showAutoFilter="1" topLeftCell="B208">
      <selection activeCell="D252" sqref="D252"/>
      <pageMargins left="0.75" right="0.75" top="1" bottom="1" header="0.5" footer="0.5"/>
      <pageSetup paperSize="9" scale="90" orientation="landscape" r:id="rId1"/>
      <headerFooter alignWithMargins="0"/>
      <autoFilter ref="C21:C246"/>
    </customSheetView>
    <customSheetView guid="{A743F9C7-8B89-4E8F-B91F-1FFB859064F2}" showAutoFilter="1" topLeftCell="B228">
      <selection activeCell="D253" sqref="D253:G254"/>
      <pageMargins left="0.75" right="0.75" top="1" bottom="1" header="0.5" footer="0.5"/>
      <pageSetup paperSize="9" scale="90" orientation="landscape" r:id="rId2"/>
      <headerFooter alignWithMargins="0"/>
      <autoFilter ref="C21:C246"/>
    </customSheetView>
  </customSheetViews>
  <mergeCells count="27">
    <mergeCell ref="B246:C246"/>
    <mergeCell ref="C22:D22"/>
    <mergeCell ref="N19:O19"/>
    <mergeCell ref="P19:Q19"/>
    <mergeCell ref="D20:E20"/>
    <mergeCell ref="F20:G20"/>
    <mergeCell ref="H20:I20"/>
    <mergeCell ref="J20:K20"/>
    <mergeCell ref="L20:M20"/>
    <mergeCell ref="N20:O20"/>
    <mergeCell ref="P20:Q20"/>
    <mergeCell ref="D19:E19"/>
    <mergeCell ref="F19:G19"/>
    <mergeCell ref="H19:I19"/>
    <mergeCell ref="J19:K19"/>
    <mergeCell ref="L19:M19"/>
    <mergeCell ref="I1:L1"/>
    <mergeCell ref="I2:L2"/>
    <mergeCell ref="I3:L3"/>
    <mergeCell ref="I5:L5"/>
    <mergeCell ref="I6:L6"/>
    <mergeCell ref="I7:L7"/>
    <mergeCell ref="B10:M10"/>
    <mergeCell ref="B11:M11"/>
    <mergeCell ref="B13:M13"/>
    <mergeCell ref="B14:M14"/>
    <mergeCell ref="B15:M15"/>
  </mergeCells>
  <pageMargins left="0.75" right="0.75" top="1" bottom="1" header="0.5" footer="0.5"/>
  <pageSetup paperSize="9" scale="90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4"/>
  <sheetViews>
    <sheetView zoomScale="85" zoomScaleNormal="85" workbookViewId="0">
      <pane ySplit="19" topLeftCell="A242" activePane="bottomLeft" state="frozen"/>
      <selection activeCell="C1" sqref="C1"/>
      <selection pane="bottomLeft" activeCell="D252" sqref="D252"/>
    </sheetView>
  </sheetViews>
  <sheetFormatPr defaultRowHeight="12.75" x14ac:dyDescent="0.2"/>
  <cols>
    <col min="1" max="1" width="22.140625" customWidth="1"/>
    <col min="2" max="2" width="35.28515625" customWidth="1"/>
    <col min="3" max="3" width="26.140625" customWidth="1"/>
    <col min="4" max="4" width="13.28515625" style="30" customWidth="1"/>
    <col min="5" max="5" width="11.5703125" style="30" customWidth="1"/>
    <col min="6" max="6" width="11.140625" style="30" customWidth="1"/>
    <col min="7" max="7" width="11.7109375" style="30" customWidth="1"/>
    <col min="8" max="8" width="12" style="30" customWidth="1"/>
    <col min="9" max="10" width="11.140625" style="30" customWidth="1"/>
    <col min="11" max="11" width="12.85546875" style="30" customWidth="1"/>
    <col min="12" max="12" width="10.85546875" customWidth="1"/>
    <col min="13" max="14" width="11.5703125" customWidth="1"/>
    <col min="15" max="15" width="12" customWidth="1"/>
    <col min="16" max="16" width="13" customWidth="1"/>
    <col min="17" max="17" width="12.7109375" customWidth="1"/>
  </cols>
  <sheetData>
    <row r="1" spans="2:15" ht="15.75" x14ac:dyDescent="0.25">
      <c r="I1" s="78"/>
      <c r="J1" s="78"/>
      <c r="K1" s="78"/>
      <c r="L1" s="78"/>
      <c r="M1" s="17" t="s">
        <v>16</v>
      </c>
      <c r="N1" s="17"/>
    </row>
    <row r="2" spans="2:15" ht="15.75" hidden="1" x14ac:dyDescent="0.25">
      <c r="B2" t="s">
        <v>0</v>
      </c>
      <c r="I2" s="78"/>
      <c r="J2" s="78"/>
      <c r="K2" s="78"/>
      <c r="L2" s="78"/>
      <c r="M2" s="17" t="s">
        <v>12</v>
      </c>
      <c r="N2" s="17"/>
      <c r="O2" s="17"/>
    </row>
    <row r="3" spans="2:15" ht="15.75" hidden="1" x14ac:dyDescent="0.25">
      <c r="I3" s="78"/>
      <c r="J3" s="78"/>
      <c r="K3" s="78"/>
      <c r="L3" s="78"/>
      <c r="M3" s="17" t="s">
        <v>13</v>
      </c>
      <c r="N3" s="17"/>
      <c r="O3" s="17"/>
    </row>
    <row r="4" spans="2:15" ht="15.75" hidden="1" x14ac:dyDescent="0.25">
      <c r="I4" s="32"/>
      <c r="J4" s="32"/>
      <c r="K4" s="32"/>
      <c r="L4" s="78"/>
      <c r="M4" s="17" t="s">
        <v>14</v>
      </c>
      <c r="N4" s="17"/>
      <c r="O4" s="17"/>
    </row>
    <row r="5" spans="2:15" ht="15.75" hidden="1" x14ac:dyDescent="0.25">
      <c r="I5" s="78"/>
      <c r="J5" s="78"/>
      <c r="K5" s="78"/>
      <c r="L5" s="78"/>
      <c r="M5" s="17" t="s">
        <v>15</v>
      </c>
      <c r="N5" s="17"/>
      <c r="O5" s="17"/>
    </row>
    <row r="6" spans="2:15" ht="15.75" hidden="1" x14ac:dyDescent="0.25">
      <c r="I6" s="78"/>
      <c r="J6" s="78"/>
      <c r="K6" s="78"/>
      <c r="L6" s="78"/>
      <c r="O6" s="17"/>
    </row>
    <row r="7" spans="2:15" ht="15.75" hidden="1" x14ac:dyDescent="0.25">
      <c r="I7" s="78"/>
      <c r="J7" s="78"/>
      <c r="K7" s="78"/>
      <c r="L7" s="78"/>
    </row>
    <row r="8" spans="2:15" ht="15.75" hidden="1" x14ac:dyDescent="0.25">
      <c r="I8" s="32"/>
      <c r="J8" s="32"/>
      <c r="K8" s="32"/>
    </row>
    <row r="9" spans="2:15" ht="12.75" hidden="1" customHeight="1" x14ac:dyDescent="0.2"/>
    <row r="10" spans="2:15" ht="12.75" hidden="1" customHeight="1" x14ac:dyDescent="0.25"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2:15" ht="15.75" hidden="1" x14ac:dyDescent="0.25"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2:15" ht="15.75" hidden="1" x14ac:dyDescent="0.25">
      <c r="B12" s="74"/>
      <c r="C12" s="74"/>
      <c r="D12" s="33"/>
      <c r="E12" s="33"/>
      <c r="F12" s="33"/>
      <c r="G12" s="33"/>
      <c r="H12" s="33"/>
      <c r="I12" s="33"/>
      <c r="J12" s="33"/>
      <c r="K12" s="34"/>
      <c r="L12" s="13"/>
      <c r="M12" s="13"/>
    </row>
    <row r="13" spans="2:15" ht="13.5" thickBot="1" x14ac:dyDescent="0.25"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</row>
    <row r="14" spans="2:15" ht="16.5" thickBot="1" x14ac:dyDescent="0.3">
      <c r="B14" s="117" t="s">
        <v>364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1"/>
    </row>
    <row r="15" spans="2:15" x14ac:dyDescent="0.2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</row>
    <row r="16" spans="2:15" x14ac:dyDescent="0.2">
      <c r="B16" s="13"/>
      <c r="C16" s="13"/>
      <c r="D16" s="35"/>
      <c r="E16" s="35"/>
      <c r="F16" s="35"/>
      <c r="G16" s="35"/>
      <c r="H16" s="35"/>
      <c r="I16" s="35"/>
      <c r="J16" s="35"/>
      <c r="K16" s="35"/>
      <c r="L16" s="13"/>
      <c r="M16" s="13"/>
    </row>
    <row r="18" spans="1:17" ht="13.5" thickBot="1" x14ac:dyDescent="0.25"/>
    <row r="19" spans="1:17" ht="127.5" customHeight="1" thickTop="1" thickBot="1" x14ac:dyDescent="0.25">
      <c r="A19" s="2" t="s">
        <v>1</v>
      </c>
      <c r="B19" s="2" t="s">
        <v>2</v>
      </c>
      <c r="C19" s="3" t="s">
        <v>3</v>
      </c>
      <c r="D19" s="76" t="s">
        <v>17</v>
      </c>
      <c r="E19" s="76"/>
      <c r="F19" s="76" t="s">
        <v>4</v>
      </c>
      <c r="G19" s="81"/>
      <c r="H19" s="77" t="s">
        <v>5</v>
      </c>
      <c r="I19" s="68"/>
      <c r="J19" s="77" t="s">
        <v>6</v>
      </c>
      <c r="K19" s="68"/>
      <c r="L19" s="90" t="s">
        <v>18</v>
      </c>
      <c r="M19" s="68"/>
      <c r="N19" s="67" t="s">
        <v>19</v>
      </c>
      <c r="O19" s="68"/>
      <c r="P19" s="67" t="s">
        <v>20</v>
      </c>
      <c r="Q19" s="68"/>
    </row>
    <row r="20" spans="1:17" ht="13.5" thickTop="1" x14ac:dyDescent="0.2">
      <c r="A20" s="4">
        <v>1</v>
      </c>
      <c r="B20" s="5">
        <v>2</v>
      </c>
      <c r="C20" s="6">
        <v>3</v>
      </c>
      <c r="D20" s="69">
        <v>4</v>
      </c>
      <c r="E20" s="80"/>
      <c r="F20" s="70">
        <v>5</v>
      </c>
      <c r="G20" s="73"/>
      <c r="H20" s="71">
        <v>6</v>
      </c>
      <c r="I20" s="73"/>
      <c r="J20" s="71">
        <v>7</v>
      </c>
      <c r="K20" s="73"/>
      <c r="L20" s="72">
        <v>8</v>
      </c>
      <c r="M20" s="73"/>
      <c r="N20" s="72">
        <v>9</v>
      </c>
      <c r="O20" s="73"/>
      <c r="P20" s="72">
        <v>10</v>
      </c>
      <c r="Q20" s="73"/>
    </row>
    <row r="21" spans="1:17" ht="12.75" customHeight="1" x14ac:dyDescent="0.2">
      <c r="A21" s="7"/>
      <c r="B21" s="7"/>
      <c r="C21" s="7"/>
      <c r="D21" s="63" t="s">
        <v>7</v>
      </c>
      <c r="E21" s="63" t="s">
        <v>8</v>
      </c>
      <c r="F21" s="63" t="s">
        <v>7</v>
      </c>
      <c r="G21" s="63" t="s">
        <v>8</v>
      </c>
      <c r="H21" s="63" t="s">
        <v>7</v>
      </c>
      <c r="I21" s="63" t="s">
        <v>8</v>
      </c>
      <c r="J21" s="63" t="s">
        <v>7</v>
      </c>
      <c r="K21" s="63" t="s">
        <v>8</v>
      </c>
      <c r="L21" s="8" t="s">
        <v>7</v>
      </c>
      <c r="M21" s="8" t="s">
        <v>9</v>
      </c>
      <c r="N21" s="8" t="s">
        <v>7</v>
      </c>
      <c r="O21" s="8" t="s">
        <v>9</v>
      </c>
      <c r="P21" s="8" t="s">
        <v>7</v>
      </c>
      <c r="Q21" s="8" t="s">
        <v>9</v>
      </c>
    </row>
    <row r="22" spans="1:17" ht="28.5" customHeight="1" x14ac:dyDescent="0.25">
      <c r="A22" s="28" t="s">
        <v>136</v>
      </c>
      <c r="B22" s="28" t="s">
        <v>360</v>
      </c>
      <c r="C22" s="66" t="s">
        <v>146</v>
      </c>
      <c r="D22" s="79"/>
      <c r="E22" s="63"/>
      <c r="F22" s="63"/>
      <c r="G22" s="63"/>
      <c r="H22" s="63"/>
      <c r="I22" s="63"/>
      <c r="J22" s="63"/>
      <c r="K22" s="63"/>
      <c r="L22" s="8"/>
      <c r="M22" s="8"/>
      <c r="N22" s="8"/>
      <c r="O22" s="8"/>
      <c r="P22" s="8"/>
      <c r="Q22" s="8"/>
    </row>
    <row r="23" spans="1:17" ht="12" customHeight="1" x14ac:dyDescent="0.25">
      <c r="A23" s="18"/>
      <c r="B23" s="18"/>
      <c r="C23" s="18" t="s">
        <v>306</v>
      </c>
      <c r="D23" s="31"/>
      <c r="E23" s="31"/>
      <c r="F23" s="31"/>
      <c r="G23" s="31"/>
      <c r="H23" s="86">
        <v>0</v>
      </c>
      <c r="I23" s="24"/>
      <c r="J23" s="31"/>
      <c r="K23" s="31"/>
      <c r="L23" s="8"/>
      <c r="M23" s="8"/>
      <c r="N23" s="8"/>
      <c r="O23" s="8"/>
      <c r="P23" s="8"/>
      <c r="Q23" s="8"/>
    </row>
    <row r="24" spans="1:17" ht="12" customHeight="1" x14ac:dyDescent="0.25">
      <c r="A24" s="18"/>
      <c r="B24" s="18"/>
      <c r="C24" s="18" t="s">
        <v>307</v>
      </c>
      <c r="D24" s="83">
        <v>1</v>
      </c>
      <c r="E24" s="83">
        <v>100</v>
      </c>
      <c r="F24" s="83">
        <v>1</v>
      </c>
      <c r="G24" s="83">
        <v>100</v>
      </c>
      <c r="H24" s="86">
        <v>0</v>
      </c>
      <c r="I24" s="24"/>
      <c r="J24" s="31"/>
      <c r="K24" s="31"/>
      <c r="L24" s="8"/>
      <c r="M24" s="8"/>
      <c r="N24" s="8"/>
      <c r="O24" s="8"/>
      <c r="P24" s="8"/>
      <c r="Q24" s="8"/>
    </row>
    <row r="25" spans="1:17" ht="11.25" customHeight="1" x14ac:dyDescent="0.25">
      <c r="A25" s="18"/>
      <c r="B25" s="18"/>
      <c r="C25" s="18" t="s">
        <v>308</v>
      </c>
      <c r="D25" s="83"/>
      <c r="E25" s="83"/>
      <c r="F25" s="83"/>
      <c r="G25" s="83"/>
      <c r="H25" s="86">
        <v>0</v>
      </c>
      <c r="I25" s="24"/>
      <c r="J25" s="31"/>
      <c r="K25" s="31"/>
      <c r="L25" s="8"/>
      <c r="M25" s="8"/>
      <c r="N25" s="8"/>
      <c r="O25" s="8"/>
      <c r="P25" s="8"/>
      <c r="Q25" s="8"/>
    </row>
    <row r="26" spans="1:17" ht="11.25" customHeight="1" x14ac:dyDescent="0.25">
      <c r="A26" s="18"/>
      <c r="B26" s="18"/>
      <c r="C26" s="18" t="s">
        <v>309</v>
      </c>
      <c r="D26" s="102">
        <v>13</v>
      </c>
      <c r="E26" s="102">
        <f>80+100+200+1100+120</f>
        <v>1600</v>
      </c>
      <c r="F26" s="83">
        <v>6</v>
      </c>
      <c r="G26" s="83">
        <f>80+750</f>
        <v>830</v>
      </c>
      <c r="H26" s="86">
        <v>0</v>
      </c>
      <c r="I26" s="24"/>
      <c r="J26" s="31">
        <v>3</v>
      </c>
      <c r="K26" s="31">
        <v>210</v>
      </c>
      <c r="L26" s="8"/>
      <c r="M26" s="8"/>
      <c r="N26" s="8"/>
      <c r="O26" s="8"/>
      <c r="P26" s="8"/>
      <c r="Q26" s="8"/>
    </row>
    <row r="27" spans="1:17" ht="12.75" customHeight="1" x14ac:dyDescent="0.25">
      <c r="A27" s="18"/>
      <c r="B27" s="18"/>
      <c r="C27" s="18" t="s">
        <v>310</v>
      </c>
      <c r="D27" s="83">
        <v>1</v>
      </c>
      <c r="E27" s="83">
        <v>80</v>
      </c>
      <c r="F27" s="83"/>
      <c r="G27" s="83"/>
      <c r="H27" s="86">
        <v>0</v>
      </c>
      <c r="I27" s="24"/>
      <c r="J27" s="31"/>
      <c r="K27" s="31"/>
      <c r="L27" s="8"/>
      <c r="M27" s="8"/>
      <c r="N27" s="8"/>
      <c r="O27" s="8"/>
      <c r="P27" s="8"/>
      <c r="Q27" s="8"/>
    </row>
    <row r="28" spans="1:17" ht="11.25" customHeight="1" x14ac:dyDescent="0.25">
      <c r="A28" s="18"/>
      <c r="B28" s="18"/>
      <c r="C28" s="18" t="s">
        <v>311</v>
      </c>
      <c r="D28" s="83">
        <v>2</v>
      </c>
      <c r="E28" s="83">
        <v>970</v>
      </c>
      <c r="F28" s="83">
        <v>1</v>
      </c>
      <c r="G28" s="83">
        <v>470</v>
      </c>
      <c r="H28" s="86">
        <v>0</v>
      </c>
      <c r="I28" s="24"/>
      <c r="J28" s="31"/>
      <c r="K28" s="31"/>
      <c r="L28" s="8"/>
      <c r="M28" s="8"/>
      <c r="N28" s="8"/>
      <c r="O28" s="8"/>
      <c r="P28" s="8"/>
      <c r="Q28" s="8"/>
    </row>
    <row r="29" spans="1:17" ht="16.5" customHeight="1" x14ac:dyDescent="0.25">
      <c r="A29" s="18"/>
      <c r="B29" s="18"/>
      <c r="C29" s="18" t="s">
        <v>312</v>
      </c>
      <c r="D29" s="84">
        <v>1</v>
      </c>
      <c r="E29" s="84">
        <v>30</v>
      </c>
      <c r="F29" s="84">
        <v>1</v>
      </c>
      <c r="G29" s="84">
        <v>30</v>
      </c>
      <c r="H29" s="86">
        <v>0</v>
      </c>
      <c r="I29" s="63"/>
      <c r="J29" s="63"/>
      <c r="K29" s="63"/>
      <c r="L29" s="8"/>
      <c r="M29" s="8"/>
      <c r="N29" s="8"/>
      <c r="O29" s="8"/>
      <c r="P29" s="8"/>
      <c r="Q29" s="8"/>
    </row>
    <row r="30" spans="1:17" ht="12" customHeight="1" x14ac:dyDescent="0.25">
      <c r="A30" s="18"/>
      <c r="B30" s="18"/>
      <c r="C30" s="18" t="s">
        <v>313</v>
      </c>
      <c r="D30" s="31">
        <v>10</v>
      </c>
      <c r="E30" s="31">
        <v>2300</v>
      </c>
      <c r="F30" s="31">
        <v>8</v>
      </c>
      <c r="G30" s="31">
        <v>279.39999999999998</v>
      </c>
      <c r="H30" s="86">
        <v>0</v>
      </c>
      <c r="I30" s="24"/>
      <c r="J30" s="31"/>
      <c r="K30" s="31"/>
      <c r="L30" s="8"/>
      <c r="M30" s="8"/>
      <c r="N30" s="8"/>
      <c r="O30" s="8"/>
      <c r="P30" s="8"/>
      <c r="Q30" s="8"/>
    </row>
    <row r="31" spans="1:17" ht="12.75" customHeight="1" x14ac:dyDescent="0.25">
      <c r="A31" s="18"/>
      <c r="B31" s="18"/>
      <c r="C31" s="18" t="s">
        <v>314</v>
      </c>
      <c r="D31" s="31">
        <v>2</v>
      </c>
      <c r="E31" s="31">
        <v>860</v>
      </c>
      <c r="F31" s="31">
        <v>2</v>
      </c>
      <c r="G31" s="31">
        <v>560</v>
      </c>
      <c r="H31" s="86">
        <v>0</v>
      </c>
      <c r="I31" s="24"/>
      <c r="J31" s="31"/>
      <c r="K31" s="31"/>
      <c r="L31" s="8"/>
      <c r="M31" s="8"/>
      <c r="N31" s="8"/>
      <c r="O31" s="8"/>
      <c r="P31" s="8"/>
      <c r="Q31" s="8"/>
    </row>
    <row r="32" spans="1:17" ht="12.75" customHeight="1" x14ac:dyDescent="0.25">
      <c r="A32" s="18"/>
      <c r="B32" s="18"/>
      <c r="C32" s="18" t="s">
        <v>315</v>
      </c>
      <c r="D32" s="83">
        <v>8</v>
      </c>
      <c r="E32" s="83">
        <f>10+100+300+80+10+300+40+480</f>
        <v>1320</v>
      </c>
      <c r="F32" s="83">
        <v>6</v>
      </c>
      <c r="G32" s="83">
        <v>920</v>
      </c>
      <c r="H32" s="86">
        <v>0</v>
      </c>
      <c r="I32" s="24"/>
      <c r="J32" s="31"/>
      <c r="K32" s="31"/>
      <c r="L32" s="8"/>
      <c r="M32" s="8"/>
      <c r="N32" s="8"/>
      <c r="O32" s="8"/>
      <c r="P32" s="8"/>
      <c r="Q32" s="8"/>
    </row>
    <row r="33" spans="1:17" ht="12.75" customHeight="1" x14ac:dyDescent="0.25">
      <c r="A33" s="18"/>
      <c r="B33" s="18"/>
      <c r="C33" s="18" t="s">
        <v>316</v>
      </c>
      <c r="D33" s="83">
        <v>5</v>
      </c>
      <c r="E33" s="83">
        <f>60+48+150+85+640</f>
        <v>983</v>
      </c>
      <c r="F33" s="83">
        <v>5</v>
      </c>
      <c r="G33" s="83">
        <v>983</v>
      </c>
      <c r="H33" s="86">
        <v>0</v>
      </c>
      <c r="I33" s="24"/>
      <c r="J33" s="31"/>
      <c r="K33" s="31"/>
      <c r="L33" s="8"/>
      <c r="M33" s="8"/>
      <c r="N33" s="8"/>
      <c r="O33" s="8"/>
      <c r="P33" s="8"/>
      <c r="Q33" s="8"/>
    </row>
    <row r="34" spans="1:17" ht="12.75" customHeight="1" x14ac:dyDescent="0.25">
      <c r="A34" s="18"/>
      <c r="B34" s="18"/>
      <c r="C34" s="18" t="s">
        <v>317</v>
      </c>
      <c r="D34" s="97">
        <v>9</v>
      </c>
      <c r="E34" s="97">
        <f>15+10+30+15+10+6+10+30+160</f>
        <v>286</v>
      </c>
      <c r="F34" s="83">
        <v>9</v>
      </c>
      <c r="G34" s="83">
        <v>286</v>
      </c>
      <c r="H34" s="86">
        <v>0</v>
      </c>
      <c r="I34" s="24"/>
      <c r="J34" s="31">
        <v>9</v>
      </c>
      <c r="K34" s="31">
        <v>245</v>
      </c>
      <c r="L34" s="8"/>
      <c r="M34" s="8"/>
      <c r="N34" s="8"/>
      <c r="O34" s="8"/>
      <c r="P34" s="8"/>
      <c r="Q34" s="8"/>
    </row>
    <row r="35" spans="1:17" ht="12.75" customHeight="1" x14ac:dyDescent="0.25">
      <c r="A35" s="18"/>
      <c r="B35" s="18"/>
      <c r="C35" s="18" t="s">
        <v>318</v>
      </c>
      <c r="D35" s="83">
        <v>14</v>
      </c>
      <c r="E35" s="83">
        <f>15+100+25+20+20+25+160+45+15+90+30+120+160+10+200</f>
        <v>1035</v>
      </c>
      <c r="F35" s="83">
        <v>14</v>
      </c>
      <c r="G35" s="83">
        <v>835</v>
      </c>
      <c r="H35" s="86">
        <v>0</v>
      </c>
      <c r="I35" s="24"/>
      <c r="J35" s="31">
        <v>2</v>
      </c>
      <c r="K35" s="31">
        <v>80</v>
      </c>
      <c r="L35" s="8"/>
      <c r="M35" s="8"/>
      <c r="N35" s="8"/>
      <c r="O35" s="8"/>
      <c r="P35" s="8"/>
      <c r="Q35" s="8"/>
    </row>
    <row r="36" spans="1:17" ht="12.75" customHeight="1" x14ac:dyDescent="0.25">
      <c r="A36" s="18"/>
      <c r="B36" s="18"/>
      <c r="C36" s="18" t="s">
        <v>319</v>
      </c>
      <c r="D36" s="84">
        <v>18</v>
      </c>
      <c r="E36" s="84">
        <f>50+150+18+160+90+200+75+15+150+50+86+20+6+400+15+15+40+55+300</f>
        <v>1895</v>
      </c>
      <c r="F36" s="84">
        <v>18</v>
      </c>
      <c r="G36" s="84">
        <v>1595</v>
      </c>
      <c r="H36" s="86">
        <v>0</v>
      </c>
      <c r="I36" s="63"/>
      <c r="J36" s="63">
        <v>3</v>
      </c>
      <c r="K36" s="63">
        <v>120</v>
      </c>
      <c r="L36" s="8"/>
      <c r="M36" s="8"/>
      <c r="N36" s="8"/>
      <c r="O36" s="8"/>
      <c r="P36" s="8"/>
      <c r="Q36" s="8"/>
    </row>
    <row r="37" spans="1:17" ht="12.75" customHeight="1" x14ac:dyDescent="0.25">
      <c r="A37" s="18"/>
      <c r="B37" s="18"/>
      <c r="C37" s="18" t="s">
        <v>320</v>
      </c>
      <c r="D37" s="83">
        <v>3</v>
      </c>
      <c r="E37" s="83">
        <v>940</v>
      </c>
      <c r="F37" s="83">
        <v>3</v>
      </c>
      <c r="G37" s="83">
        <v>90</v>
      </c>
      <c r="H37" s="86">
        <v>0</v>
      </c>
      <c r="I37" s="24"/>
      <c r="J37" s="31"/>
      <c r="K37" s="31"/>
      <c r="L37" s="8"/>
      <c r="M37" s="8"/>
      <c r="N37" s="8"/>
      <c r="O37" s="8"/>
      <c r="P37" s="8"/>
      <c r="Q37" s="8"/>
    </row>
    <row r="38" spans="1:17" ht="12.75" customHeight="1" x14ac:dyDescent="0.25">
      <c r="A38" s="18"/>
      <c r="B38" s="18"/>
      <c r="C38" s="18" t="s">
        <v>321</v>
      </c>
      <c r="D38" s="83">
        <v>3</v>
      </c>
      <c r="E38" s="83">
        <v>550</v>
      </c>
      <c r="F38" s="83">
        <v>3</v>
      </c>
      <c r="G38" s="83">
        <v>230</v>
      </c>
      <c r="H38" s="86">
        <v>0</v>
      </c>
      <c r="I38" s="24"/>
      <c r="J38" s="31">
        <v>3</v>
      </c>
      <c r="K38" s="31">
        <v>320</v>
      </c>
      <c r="L38" s="8"/>
      <c r="M38" s="8"/>
      <c r="N38" s="8"/>
      <c r="O38" s="8"/>
      <c r="P38" s="8"/>
      <c r="Q38" s="8"/>
    </row>
    <row r="39" spans="1:17" ht="12.75" customHeight="1" x14ac:dyDescent="0.25">
      <c r="A39" s="18"/>
      <c r="B39" s="18"/>
      <c r="C39" s="18" t="s">
        <v>322</v>
      </c>
      <c r="D39" s="31">
        <v>4</v>
      </c>
      <c r="E39" s="31">
        <v>621</v>
      </c>
      <c r="F39" s="31">
        <v>4</v>
      </c>
      <c r="G39" s="31">
        <v>162</v>
      </c>
      <c r="H39" s="86">
        <v>0</v>
      </c>
      <c r="I39" s="24"/>
      <c r="J39" s="31">
        <v>13</v>
      </c>
      <c r="K39" s="31">
        <v>920</v>
      </c>
      <c r="L39" s="8"/>
      <c r="M39" s="8"/>
      <c r="N39" s="8"/>
      <c r="O39" s="8"/>
      <c r="P39" s="8"/>
      <c r="Q39" s="8"/>
    </row>
    <row r="40" spans="1:17" ht="12.75" customHeight="1" x14ac:dyDescent="0.25">
      <c r="A40" s="18"/>
      <c r="B40" s="18"/>
      <c r="C40" s="18" t="s">
        <v>323</v>
      </c>
      <c r="D40" s="31">
        <v>1</v>
      </c>
      <c r="E40" s="31">
        <v>360</v>
      </c>
      <c r="F40" s="31">
        <v>1</v>
      </c>
      <c r="G40" s="31">
        <v>120</v>
      </c>
      <c r="H40" s="86">
        <v>0</v>
      </c>
      <c r="I40" s="24"/>
      <c r="J40" s="31">
        <v>8</v>
      </c>
      <c r="K40" s="31">
        <v>450</v>
      </c>
      <c r="L40" s="8"/>
      <c r="M40" s="8"/>
      <c r="N40" s="8"/>
      <c r="O40" s="8"/>
      <c r="P40" s="8"/>
      <c r="Q40" s="8"/>
    </row>
    <row r="41" spans="1:17" ht="12.75" customHeight="1" x14ac:dyDescent="0.25">
      <c r="A41" s="18"/>
      <c r="B41" s="18"/>
      <c r="C41" s="18" t="s">
        <v>324</v>
      </c>
      <c r="D41" s="31">
        <v>7</v>
      </c>
      <c r="E41" s="31">
        <v>1760</v>
      </c>
      <c r="F41" s="31">
        <v>5</v>
      </c>
      <c r="G41" s="31">
        <v>250</v>
      </c>
      <c r="H41" s="86">
        <v>0</v>
      </c>
      <c r="I41" s="24"/>
      <c r="J41" s="31"/>
      <c r="K41" s="31"/>
      <c r="L41" s="8"/>
      <c r="M41" s="8"/>
      <c r="N41" s="8"/>
      <c r="O41" s="8"/>
      <c r="P41" s="8"/>
      <c r="Q41" s="8"/>
    </row>
    <row r="42" spans="1:17" ht="12.75" customHeight="1" x14ac:dyDescent="0.25">
      <c r="A42" s="18"/>
      <c r="B42" s="18"/>
      <c r="C42" s="18" t="s">
        <v>325</v>
      </c>
      <c r="D42" s="31">
        <v>7</v>
      </c>
      <c r="E42" s="31">
        <f>20+170+180+60+1.1+400+90</f>
        <v>921.1</v>
      </c>
      <c r="F42" s="31">
        <v>7</v>
      </c>
      <c r="G42" s="31">
        <v>921.1</v>
      </c>
      <c r="H42" s="86">
        <v>0</v>
      </c>
      <c r="I42" s="24"/>
      <c r="J42" s="31">
        <v>1</v>
      </c>
      <c r="K42" s="31">
        <v>20</v>
      </c>
      <c r="L42" s="8"/>
      <c r="M42" s="8"/>
      <c r="N42" s="8"/>
      <c r="O42" s="8"/>
      <c r="P42" s="8"/>
      <c r="Q42" s="8"/>
    </row>
    <row r="43" spans="1:17" ht="12.75" customHeight="1" x14ac:dyDescent="0.25">
      <c r="A43" s="18"/>
      <c r="B43" s="18"/>
      <c r="C43" s="18" t="s">
        <v>326</v>
      </c>
      <c r="D43" s="31">
        <v>4</v>
      </c>
      <c r="E43" s="31">
        <f>180+100+100+43</f>
        <v>423</v>
      </c>
      <c r="F43" s="31">
        <v>2</v>
      </c>
      <c r="G43" s="31">
        <v>220</v>
      </c>
      <c r="H43" s="86">
        <v>0</v>
      </c>
      <c r="I43" s="24"/>
      <c r="J43" s="31"/>
      <c r="K43" s="31"/>
      <c r="L43" s="8"/>
      <c r="M43" s="8"/>
      <c r="N43" s="8"/>
      <c r="O43" s="8"/>
      <c r="P43" s="8"/>
      <c r="Q43" s="8"/>
    </row>
    <row r="44" spans="1:17" ht="12.75" customHeight="1" x14ac:dyDescent="0.25">
      <c r="A44" s="18"/>
      <c r="B44" s="18"/>
      <c r="C44" s="18" t="s">
        <v>327</v>
      </c>
      <c r="D44" s="31"/>
      <c r="E44" s="31"/>
      <c r="F44" s="31"/>
      <c r="G44" s="31"/>
      <c r="H44" s="86">
        <v>0</v>
      </c>
      <c r="I44" s="24"/>
      <c r="J44" s="31"/>
      <c r="K44" s="31"/>
      <c r="L44" s="8"/>
      <c r="M44" s="8"/>
      <c r="N44" s="8"/>
      <c r="O44" s="8"/>
      <c r="P44" s="8"/>
      <c r="Q44" s="8"/>
    </row>
    <row r="45" spans="1:17" ht="12.75" customHeight="1" x14ac:dyDescent="0.25">
      <c r="A45" s="18"/>
      <c r="B45" s="18"/>
      <c r="C45" s="18" t="s">
        <v>328</v>
      </c>
      <c r="D45" s="83">
        <v>2</v>
      </c>
      <c r="E45" s="83">
        <v>470</v>
      </c>
      <c r="F45" s="83">
        <v>2</v>
      </c>
      <c r="G45" s="83">
        <v>272</v>
      </c>
      <c r="H45" s="86">
        <v>0</v>
      </c>
      <c r="I45" s="24"/>
      <c r="J45" s="31"/>
      <c r="K45" s="31"/>
      <c r="L45" s="8"/>
      <c r="M45" s="8"/>
      <c r="N45" s="8"/>
      <c r="O45" s="8"/>
      <c r="P45" s="8"/>
      <c r="Q45" s="8"/>
    </row>
    <row r="46" spans="1:17" ht="12.75" customHeight="1" x14ac:dyDescent="0.25">
      <c r="A46" s="18"/>
      <c r="B46" s="18"/>
      <c r="C46" s="18" t="s">
        <v>329</v>
      </c>
      <c r="D46" s="83"/>
      <c r="E46" s="83"/>
      <c r="F46" s="83"/>
      <c r="G46" s="83"/>
      <c r="H46" s="86">
        <v>0</v>
      </c>
      <c r="I46" s="24"/>
      <c r="J46" s="31"/>
      <c r="K46" s="31"/>
      <c r="L46" s="8"/>
      <c r="M46" s="8"/>
      <c r="N46" s="8"/>
      <c r="O46" s="8"/>
      <c r="P46" s="8"/>
      <c r="Q46" s="8"/>
    </row>
    <row r="47" spans="1:17" ht="12.75" customHeight="1" x14ac:dyDescent="0.25">
      <c r="A47" s="18"/>
      <c r="B47" s="18"/>
      <c r="C47" s="18" t="s">
        <v>330</v>
      </c>
      <c r="D47" s="83"/>
      <c r="E47" s="83"/>
      <c r="F47" s="83"/>
      <c r="G47" s="83"/>
      <c r="H47" s="86">
        <v>0</v>
      </c>
      <c r="I47" s="24"/>
      <c r="J47" s="31"/>
      <c r="K47" s="31"/>
      <c r="L47" s="8"/>
      <c r="M47" s="8"/>
      <c r="N47" s="8"/>
      <c r="O47" s="8"/>
      <c r="P47" s="8"/>
      <c r="Q47" s="8"/>
    </row>
    <row r="48" spans="1:17" ht="12.75" customHeight="1" x14ac:dyDescent="0.25">
      <c r="A48" s="18"/>
      <c r="B48" s="18"/>
      <c r="C48" s="18" t="s">
        <v>331</v>
      </c>
      <c r="D48" s="83">
        <v>11</v>
      </c>
      <c r="E48" s="83">
        <v>1918</v>
      </c>
      <c r="F48" s="83">
        <v>4</v>
      </c>
      <c r="G48" s="83">
        <v>630</v>
      </c>
      <c r="H48" s="86">
        <v>0</v>
      </c>
      <c r="I48" s="24"/>
      <c r="J48" s="31"/>
      <c r="K48" s="31"/>
      <c r="L48" s="8"/>
      <c r="M48" s="8"/>
      <c r="N48" s="8"/>
      <c r="O48" s="8"/>
      <c r="P48" s="8"/>
      <c r="Q48" s="8"/>
    </row>
    <row r="49" spans="1:17" ht="12.75" customHeight="1" x14ac:dyDescent="0.25">
      <c r="A49" s="18"/>
      <c r="B49" s="18"/>
      <c r="C49" s="18" t="s">
        <v>332</v>
      </c>
      <c r="D49" s="84">
        <v>2</v>
      </c>
      <c r="E49" s="84">
        <f>150+50</f>
        <v>200</v>
      </c>
      <c r="F49" s="84">
        <v>2</v>
      </c>
      <c r="G49" s="84">
        <v>200</v>
      </c>
      <c r="H49" s="86">
        <v>0</v>
      </c>
      <c r="I49" s="63"/>
      <c r="J49" s="63">
        <v>4</v>
      </c>
      <c r="K49" s="63">
        <v>135</v>
      </c>
      <c r="L49" s="8"/>
      <c r="M49" s="8"/>
      <c r="N49" s="8"/>
      <c r="O49" s="8"/>
      <c r="P49" s="8"/>
      <c r="Q49" s="8"/>
    </row>
    <row r="50" spans="1:17" ht="12.75" customHeight="1" x14ac:dyDescent="0.25">
      <c r="A50" s="18"/>
      <c r="B50" s="18"/>
      <c r="C50" s="18" t="s">
        <v>333</v>
      </c>
      <c r="D50" s="83">
        <v>3</v>
      </c>
      <c r="E50" s="83">
        <f>162+6+15</f>
        <v>183</v>
      </c>
      <c r="F50" s="83">
        <v>3</v>
      </c>
      <c r="G50" s="83">
        <f>162+6+15</f>
        <v>183</v>
      </c>
      <c r="H50" s="86">
        <v>0</v>
      </c>
      <c r="I50" s="24"/>
      <c r="J50" s="31"/>
      <c r="K50" s="31"/>
      <c r="L50" s="8"/>
      <c r="M50" s="8"/>
      <c r="N50" s="8"/>
      <c r="O50" s="8"/>
      <c r="P50" s="8"/>
      <c r="Q50" s="8"/>
    </row>
    <row r="51" spans="1:17" ht="12.75" customHeight="1" x14ac:dyDescent="0.25">
      <c r="A51" s="18"/>
      <c r="B51" s="18"/>
      <c r="C51" s="18" t="s">
        <v>334</v>
      </c>
      <c r="D51" s="83">
        <v>7</v>
      </c>
      <c r="E51" s="83">
        <f>200+40+155+100+80+30+70+300</f>
        <v>975</v>
      </c>
      <c r="F51" s="83">
        <v>5</v>
      </c>
      <c r="G51" s="83">
        <v>470</v>
      </c>
      <c r="H51" s="86">
        <v>0</v>
      </c>
      <c r="I51" s="24"/>
      <c r="J51" s="31"/>
      <c r="K51" s="31"/>
      <c r="L51" s="8"/>
      <c r="M51" s="8"/>
      <c r="N51" s="8"/>
      <c r="O51" s="8"/>
      <c r="P51" s="8"/>
      <c r="Q51" s="8"/>
    </row>
    <row r="52" spans="1:17" ht="12.75" customHeight="1" x14ac:dyDescent="0.25">
      <c r="A52" s="18"/>
      <c r="B52" s="18"/>
      <c r="C52" s="18" t="s">
        <v>335</v>
      </c>
      <c r="D52" s="83"/>
      <c r="E52" s="83"/>
      <c r="F52" s="83"/>
      <c r="G52" s="83"/>
      <c r="H52" s="86">
        <v>0</v>
      </c>
      <c r="I52" s="24"/>
      <c r="J52" s="31"/>
      <c r="K52" s="31"/>
      <c r="L52" s="8"/>
      <c r="M52" s="8"/>
      <c r="N52" s="8"/>
      <c r="O52" s="8"/>
      <c r="P52" s="8"/>
      <c r="Q52" s="8"/>
    </row>
    <row r="53" spans="1:17" ht="12.75" customHeight="1" x14ac:dyDescent="0.25">
      <c r="A53" s="18"/>
      <c r="B53" s="18"/>
      <c r="C53" s="18" t="s">
        <v>336</v>
      </c>
      <c r="D53" s="83"/>
      <c r="E53" s="83"/>
      <c r="F53" s="83"/>
      <c r="G53" s="83"/>
      <c r="H53" s="86">
        <v>0</v>
      </c>
      <c r="I53" s="24"/>
      <c r="J53" s="31">
        <v>3</v>
      </c>
      <c r="K53" s="31">
        <v>80</v>
      </c>
      <c r="L53" s="8"/>
      <c r="M53" s="8"/>
      <c r="N53" s="8"/>
      <c r="O53" s="8"/>
      <c r="P53" s="8"/>
      <c r="Q53" s="8"/>
    </row>
    <row r="54" spans="1:17" ht="12.75" customHeight="1" x14ac:dyDescent="0.25">
      <c r="A54" s="18"/>
      <c r="B54" s="18"/>
      <c r="C54" s="18" t="s">
        <v>337</v>
      </c>
      <c r="D54" s="83">
        <v>3</v>
      </c>
      <c r="E54" s="83">
        <f>350+20+50</f>
        <v>420</v>
      </c>
      <c r="F54" s="83">
        <v>3</v>
      </c>
      <c r="G54" s="83">
        <v>420</v>
      </c>
      <c r="H54" s="86">
        <v>0</v>
      </c>
      <c r="I54" s="24"/>
      <c r="J54" s="31"/>
      <c r="K54" s="31"/>
      <c r="L54" s="8"/>
      <c r="M54" s="8"/>
      <c r="N54" s="8"/>
      <c r="O54" s="8"/>
      <c r="P54" s="8"/>
      <c r="Q54" s="8"/>
    </row>
    <row r="55" spans="1:17" ht="12.75" customHeight="1" x14ac:dyDescent="0.25">
      <c r="A55" s="18"/>
      <c r="B55" s="18"/>
      <c r="C55" s="18" t="s">
        <v>338</v>
      </c>
      <c r="D55" s="31"/>
      <c r="E55" s="31"/>
      <c r="F55" s="31"/>
      <c r="G55" s="31"/>
      <c r="H55" s="86">
        <v>0</v>
      </c>
      <c r="I55" s="24"/>
      <c r="J55" s="31"/>
      <c r="K55" s="31"/>
      <c r="L55" s="8"/>
      <c r="M55" s="8"/>
      <c r="N55" s="8"/>
      <c r="O55" s="8"/>
      <c r="P55" s="8"/>
      <c r="Q55" s="8"/>
    </row>
    <row r="56" spans="1:17" ht="12.75" customHeight="1" x14ac:dyDescent="0.25">
      <c r="A56" s="18"/>
      <c r="B56" s="18"/>
      <c r="C56" s="18" t="s">
        <v>339</v>
      </c>
      <c r="D56" s="31">
        <v>3</v>
      </c>
      <c r="E56" s="31">
        <f>15+95+10</f>
        <v>120</v>
      </c>
      <c r="F56" s="31">
        <v>3</v>
      </c>
      <c r="G56" s="31">
        <v>120</v>
      </c>
      <c r="H56" s="86">
        <v>0</v>
      </c>
      <c r="I56" s="24"/>
      <c r="J56" s="31"/>
      <c r="K56" s="31"/>
      <c r="L56" s="8"/>
      <c r="M56" s="8"/>
      <c r="N56" s="8"/>
      <c r="O56" s="8"/>
      <c r="P56" s="8"/>
      <c r="Q56" s="8"/>
    </row>
    <row r="57" spans="1:17" ht="12.75" customHeight="1" x14ac:dyDescent="0.25">
      <c r="A57" s="18"/>
      <c r="B57" s="18"/>
      <c r="C57" s="18" t="s">
        <v>340</v>
      </c>
      <c r="D57" s="31">
        <v>2</v>
      </c>
      <c r="E57" s="31">
        <f>50+91</f>
        <v>141</v>
      </c>
      <c r="F57" s="31">
        <v>2</v>
      </c>
      <c r="G57" s="31">
        <v>141</v>
      </c>
      <c r="H57" s="86">
        <v>0</v>
      </c>
      <c r="I57" s="24"/>
      <c r="J57" s="31"/>
      <c r="K57" s="31"/>
      <c r="L57" s="8"/>
      <c r="M57" s="8"/>
      <c r="N57" s="8"/>
      <c r="O57" s="8"/>
      <c r="P57" s="8"/>
      <c r="Q57" s="8"/>
    </row>
    <row r="58" spans="1:17" ht="12.75" customHeight="1" x14ac:dyDescent="0.25">
      <c r="A58" s="18"/>
      <c r="B58" s="18"/>
      <c r="C58" s="18" t="s">
        <v>341</v>
      </c>
      <c r="D58" s="31">
        <v>5</v>
      </c>
      <c r="E58" s="31">
        <f>160+80+240+15+15</f>
        <v>510</v>
      </c>
      <c r="F58" s="31">
        <v>4</v>
      </c>
      <c r="G58" s="31">
        <v>210</v>
      </c>
      <c r="H58" s="86">
        <v>0</v>
      </c>
      <c r="I58" s="24"/>
      <c r="J58" s="31"/>
      <c r="K58" s="31"/>
      <c r="L58" s="8"/>
      <c r="M58" s="8"/>
      <c r="N58" s="8"/>
      <c r="O58" s="8"/>
      <c r="P58" s="8"/>
      <c r="Q58" s="8"/>
    </row>
    <row r="59" spans="1:17" ht="12.75" customHeight="1" x14ac:dyDescent="0.25">
      <c r="A59" s="18"/>
      <c r="B59" s="18"/>
      <c r="C59" s="18" t="s">
        <v>342</v>
      </c>
      <c r="D59" s="63">
        <v>1</v>
      </c>
      <c r="E59" s="63">
        <v>96</v>
      </c>
      <c r="F59" s="63"/>
      <c r="G59" s="63"/>
      <c r="H59" s="86">
        <v>0</v>
      </c>
      <c r="I59" s="63"/>
      <c r="J59" s="63"/>
      <c r="K59" s="63"/>
      <c r="L59" s="8"/>
      <c r="M59" s="8"/>
      <c r="N59" s="8"/>
      <c r="O59" s="8"/>
      <c r="P59" s="8"/>
      <c r="Q59" s="8"/>
    </row>
    <row r="60" spans="1:17" ht="12.75" customHeight="1" x14ac:dyDescent="0.25">
      <c r="A60" s="18"/>
      <c r="B60" s="18"/>
      <c r="C60" s="18" t="s">
        <v>343</v>
      </c>
      <c r="D60" s="31">
        <v>2</v>
      </c>
      <c r="E60" s="31">
        <f>15+160</f>
        <v>175</v>
      </c>
      <c r="F60" s="31">
        <v>2</v>
      </c>
      <c r="G60" s="31">
        <v>175</v>
      </c>
      <c r="H60" s="86">
        <v>0</v>
      </c>
      <c r="I60" s="24"/>
      <c r="J60" s="31"/>
      <c r="K60" s="31"/>
      <c r="L60" s="8"/>
      <c r="M60" s="8"/>
      <c r="N60" s="8"/>
      <c r="O60" s="8"/>
      <c r="P60" s="8"/>
      <c r="Q60" s="8"/>
    </row>
    <row r="61" spans="1:17" ht="12.75" customHeight="1" x14ac:dyDescent="0.25">
      <c r="A61" s="18"/>
      <c r="B61" s="18"/>
      <c r="C61" s="18" t="s">
        <v>344</v>
      </c>
      <c r="D61" s="31"/>
      <c r="E61" s="31"/>
      <c r="F61" s="31"/>
      <c r="G61" s="31"/>
      <c r="H61" s="86">
        <v>0</v>
      </c>
      <c r="I61" s="24"/>
      <c r="J61" s="31"/>
      <c r="K61" s="31"/>
      <c r="L61" s="8"/>
      <c r="M61" s="8"/>
      <c r="N61" s="8"/>
      <c r="O61" s="8"/>
      <c r="P61" s="8"/>
      <c r="Q61" s="8"/>
    </row>
    <row r="62" spans="1:17" ht="12.75" customHeight="1" x14ac:dyDescent="0.25">
      <c r="A62" s="18"/>
      <c r="B62" s="18"/>
      <c r="C62" s="18" t="s">
        <v>345</v>
      </c>
      <c r="D62" s="31">
        <v>2</v>
      </c>
      <c r="E62" s="31">
        <f>8+7</f>
        <v>15</v>
      </c>
      <c r="F62" s="31">
        <v>2</v>
      </c>
      <c r="G62" s="31">
        <v>15</v>
      </c>
      <c r="H62" s="86">
        <v>0</v>
      </c>
      <c r="I62" s="24"/>
      <c r="J62" s="31"/>
      <c r="K62" s="31"/>
      <c r="L62" s="8"/>
      <c r="M62" s="8"/>
      <c r="N62" s="8"/>
      <c r="O62" s="8"/>
      <c r="P62" s="8"/>
      <c r="Q62" s="8"/>
    </row>
    <row r="63" spans="1:17" ht="12.75" customHeight="1" x14ac:dyDescent="0.25">
      <c r="A63" s="18"/>
      <c r="B63" s="18"/>
      <c r="C63" s="18" t="s">
        <v>362</v>
      </c>
      <c r="D63" s="31">
        <v>5</v>
      </c>
      <c r="E63" s="31">
        <f>325+170+100+90+100</f>
        <v>785</v>
      </c>
      <c r="F63" s="31">
        <v>3</v>
      </c>
      <c r="G63" s="31">
        <v>385</v>
      </c>
      <c r="H63" s="86">
        <v>0</v>
      </c>
      <c r="I63" s="24"/>
      <c r="J63" s="31"/>
      <c r="K63" s="31"/>
      <c r="L63" s="8"/>
      <c r="M63" s="8"/>
      <c r="N63" s="8"/>
      <c r="O63" s="8"/>
      <c r="P63" s="8"/>
      <c r="Q63" s="8"/>
    </row>
    <row r="64" spans="1:17" ht="17.25" customHeight="1" x14ac:dyDescent="0.2">
      <c r="A64" s="18"/>
      <c r="B64" s="18"/>
      <c r="C64" s="91" t="s">
        <v>30</v>
      </c>
      <c r="D64" s="31">
        <f t="shared" ref="D64:Q64" si="0">SUM(D23:D63)</f>
        <v>161</v>
      </c>
      <c r="E64" s="31">
        <f t="shared" si="0"/>
        <v>23042.1</v>
      </c>
      <c r="F64" s="31">
        <f t="shared" si="0"/>
        <v>131</v>
      </c>
      <c r="G64" s="31">
        <f t="shared" si="0"/>
        <v>12102.5</v>
      </c>
      <c r="H64" s="31">
        <f t="shared" si="0"/>
        <v>0</v>
      </c>
      <c r="I64" s="31">
        <f t="shared" si="0"/>
        <v>0</v>
      </c>
      <c r="J64" s="31">
        <f t="shared" si="0"/>
        <v>49</v>
      </c>
      <c r="K64" s="31">
        <f t="shared" si="0"/>
        <v>2580</v>
      </c>
      <c r="L64" s="31">
        <f t="shared" si="0"/>
        <v>0</v>
      </c>
      <c r="M64" s="31">
        <f t="shared" si="0"/>
        <v>0</v>
      </c>
      <c r="N64" s="31">
        <f t="shared" si="0"/>
        <v>0</v>
      </c>
      <c r="O64" s="31">
        <f t="shared" si="0"/>
        <v>0</v>
      </c>
      <c r="P64" s="31">
        <f t="shared" si="0"/>
        <v>0</v>
      </c>
      <c r="Q64" s="31">
        <f t="shared" si="0"/>
        <v>0</v>
      </c>
    </row>
    <row r="65" spans="1:17" ht="15" x14ac:dyDescent="0.25">
      <c r="A65" s="18"/>
      <c r="B65" s="18"/>
      <c r="C65" s="66" t="s">
        <v>148</v>
      </c>
      <c r="D65" s="79"/>
      <c r="E65" s="31"/>
      <c r="F65" s="31"/>
      <c r="G65" s="31"/>
      <c r="H65" s="86">
        <v>0</v>
      </c>
      <c r="I65" s="24"/>
      <c r="J65" s="31"/>
      <c r="K65" s="31"/>
      <c r="L65" s="8"/>
      <c r="M65" s="8"/>
      <c r="N65" s="8"/>
      <c r="O65" s="8"/>
      <c r="P65" s="8"/>
      <c r="Q65" s="8"/>
    </row>
    <row r="66" spans="1:17" ht="12.75" customHeight="1" x14ac:dyDescent="0.25">
      <c r="A66" s="18"/>
      <c r="B66" s="53"/>
      <c r="C66" s="18" t="s">
        <v>350</v>
      </c>
      <c r="D66" s="31">
        <v>4</v>
      </c>
      <c r="E66" s="31">
        <v>671</v>
      </c>
      <c r="F66" s="31">
        <v>3</v>
      </c>
      <c r="G66" s="31">
        <v>320</v>
      </c>
      <c r="H66" s="86">
        <v>0</v>
      </c>
      <c r="I66" s="24"/>
      <c r="J66" s="31">
        <v>19</v>
      </c>
      <c r="K66" s="8">
        <v>940</v>
      </c>
      <c r="L66" s="8"/>
      <c r="M66" s="8"/>
      <c r="N66" s="8"/>
      <c r="O66" s="8"/>
      <c r="P66" s="8"/>
      <c r="Q66" s="8"/>
    </row>
    <row r="67" spans="1:17" ht="12.75" customHeight="1" x14ac:dyDescent="0.25">
      <c r="A67" s="18"/>
      <c r="B67" s="53"/>
      <c r="C67" s="18" t="s">
        <v>149</v>
      </c>
      <c r="D67" s="31">
        <v>12</v>
      </c>
      <c r="E67" s="31">
        <f>41+15+15+155+50+15+60+50+250+100+300+250</f>
        <v>1301</v>
      </c>
      <c r="F67" s="31">
        <v>6</v>
      </c>
      <c r="G67" s="31">
        <v>251</v>
      </c>
      <c r="H67" s="86">
        <v>0</v>
      </c>
      <c r="I67" s="24"/>
      <c r="J67" s="31">
        <v>13</v>
      </c>
      <c r="K67" s="8">
        <v>870</v>
      </c>
      <c r="L67" s="8"/>
      <c r="M67" s="8"/>
      <c r="N67" s="8"/>
      <c r="O67" s="8"/>
      <c r="P67" s="8"/>
      <c r="Q67" s="8"/>
    </row>
    <row r="68" spans="1:17" ht="12.75" customHeight="1" x14ac:dyDescent="0.25">
      <c r="A68" s="18"/>
      <c r="B68" s="53"/>
      <c r="C68" s="18" t="s">
        <v>150</v>
      </c>
      <c r="D68" s="31">
        <v>2</v>
      </c>
      <c r="E68" s="31">
        <f>65+155</f>
        <v>220</v>
      </c>
      <c r="F68" s="31">
        <v>2</v>
      </c>
      <c r="G68" s="31">
        <v>20</v>
      </c>
      <c r="H68" s="86">
        <v>0</v>
      </c>
      <c r="I68" s="24"/>
      <c r="J68" s="31"/>
      <c r="K68" s="8"/>
      <c r="L68" s="8"/>
      <c r="M68" s="8"/>
      <c r="N68" s="8"/>
      <c r="O68" s="8"/>
      <c r="P68" s="8"/>
      <c r="Q68" s="8"/>
    </row>
    <row r="69" spans="1:17" ht="12.75" customHeight="1" x14ac:dyDescent="0.25">
      <c r="A69" s="18"/>
      <c r="B69" s="53"/>
      <c r="C69" s="18" t="s">
        <v>151</v>
      </c>
      <c r="D69" s="31">
        <v>2</v>
      </c>
      <c r="E69" s="31">
        <v>125</v>
      </c>
      <c r="F69" s="31">
        <v>2</v>
      </c>
      <c r="G69" s="31">
        <v>25</v>
      </c>
      <c r="H69" s="86">
        <v>0</v>
      </c>
      <c r="I69" s="24"/>
      <c r="J69" s="31"/>
      <c r="K69" s="8"/>
      <c r="L69" s="8"/>
      <c r="M69" s="8"/>
      <c r="N69" s="8"/>
      <c r="O69" s="8"/>
      <c r="P69" s="8"/>
      <c r="Q69" s="8"/>
    </row>
    <row r="70" spans="1:17" ht="12.75" customHeight="1" x14ac:dyDescent="0.25">
      <c r="A70" s="18"/>
      <c r="B70" s="53"/>
      <c r="C70" s="18" t="s">
        <v>152</v>
      </c>
      <c r="D70" s="31">
        <v>4</v>
      </c>
      <c r="E70" s="31">
        <v>645</v>
      </c>
      <c r="F70" s="31">
        <v>1</v>
      </c>
      <c r="G70" s="31">
        <v>41</v>
      </c>
      <c r="H70" s="86">
        <v>0</v>
      </c>
      <c r="I70" s="24"/>
      <c r="J70" s="31">
        <v>1</v>
      </c>
      <c r="K70" s="8">
        <v>20</v>
      </c>
      <c r="L70" s="8"/>
      <c r="M70" s="8"/>
      <c r="N70" s="8"/>
      <c r="O70" s="8"/>
      <c r="P70" s="8"/>
      <c r="Q70" s="8"/>
    </row>
    <row r="71" spans="1:17" ht="12.75" customHeight="1" x14ac:dyDescent="0.25">
      <c r="A71" s="18"/>
      <c r="B71" s="53"/>
      <c r="C71" s="18" t="s">
        <v>351</v>
      </c>
      <c r="D71" s="31"/>
      <c r="E71" s="31"/>
      <c r="F71" s="31"/>
      <c r="G71" s="31"/>
      <c r="H71" s="86">
        <v>0</v>
      </c>
      <c r="I71" s="24"/>
      <c r="J71" s="31"/>
      <c r="K71" s="8"/>
      <c r="L71" s="8"/>
      <c r="M71" s="8"/>
      <c r="N71" s="8"/>
      <c r="O71" s="8"/>
      <c r="P71" s="8"/>
      <c r="Q71" s="8"/>
    </row>
    <row r="72" spans="1:17" ht="12.75" customHeight="1" x14ac:dyDescent="0.25">
      <c r="A72" s="18"/>
      <c r="B72" s="53"/>
      <c r="C72" s="18" t="s">
        <v>153</v>
      </c>
      <c r="D72" s="31">
        <v>1</v>
      </c>
      <c r="E72" s="31">
        <v>10</v>
      </c>
      <c r="F72" s="31">
        <v>1</v>
      </c>
      <c r="G72" s="31">
        <v>10</v>
      </c>
      <c r="H72" s="86">
        <v>0</v>
      </c>
      <c r="I72" s="24"/>
      <c r="J72" s="31"/>
      <c r="K72" s="8"/>
      <c r="L72" s="8"/>
      <c r="M72" s="8"/>
      <c r="N72" s="8"/>
      <c r="O72" s="8"/>
      <c r="P72" s="8"/>
      <c r="Q72" s="8"/>
    </row>
    <row r="73" spans="1:17" ht="12.75" customHeight="1" x14ac:dyDescent="0.25">
      <c r="A73" s="18"/>
      <c r="B73" s="53"/>
      <c r="C73" s="18" t="s">
        <v>155</v>
      </c>
      <c r="D73" s="31"/>
      <c r="E73" s="31"/>
      <c r="F73" s="31"/>
      <c r="G73" s="31"/>
      <c r="H73" s="86">
        <v>0</v>
      </c>
      <c r="I73" s="24"/>
      <c r="J73" s="31"/>
      <c r="K73" s="8"/>
      <c r="L73" s="8"/>
      <c r="M73" s="8"/>
      <c r="N73" s="8"/>
      <c r="O73" s="8"/>
      <c r="P73" s="8"/>
      <c r="Q73" s="8"/>
    </row>
    <row r="74" spans="1:17" ht="12.75" customHeight="1" x14ac:dyDescent="0.25">
      <c r="A74" s="18"/>
      <c r="B74" s="53"/>
      <c r="C74" s="18" t="s">
        <v>363</v>
      </c>
      <c r="D74" s="31">
        <v>6</v>
      </c>
      <c r="E74" s="31">
        <v>480</v>
      </c>
      <c r="F74" s="31">
        <v>3</v>
      </c>
      <c r="G74" s="31">
        <v>140</v>
      </c>
      <c r="H74" s="86">
        <v>0</v>
      </c>
      <c r="I74" s="24"/>
      <c r="J74" s="31">
        <v>5</v>
      </c>
      <c r="K74" s="8">
        <v>420</v>
      </c>
      <c r="L74" s="8"/>
      <c r="M74" s="8"/>
      <c r="N74" s="8"/>
      <c r="O74" s="8"/>
      <c r="P74" s="8"/>
      <c r="Q74" s="8"/>
    </row>
    <row r="75" spans="1:17" ht="12.75" customHeight="1" x14ac:dyDescent="0.25">
      <c r="A75" s="18"/>
      <c r="B75" s="53"/>
      <c r="C75" s="18" t="s">
        <v>147</v>
      </c>
      <c r="D75" s="31"/>
      <c r="E75" s="31"/>
      <c r="F75" s="31"/>
      <c r="G75" s="31"/>
      <c r="H75" s="86">
        <v>0</v>
      </c>
      <c r="I75" s="24"/>
      <c r="J75" s="31"/>
      <c r="K75" s="8"/>
      <c r="L75" s="8"/>
      <c r="M75" s="8"/>
      <c r="N75" s="8"/>
      <c r="O75" s="8"/>
      <c r="P75" s="8"/>
      <c r="Q75" s="8"/>
    </row>
    <row r="76" spans="1:17" ht="12.75" customHeight="1" x14ac:dyDescent="0.25">
      <c r="A76" s="18"/>
      <c r="B76" s="53"/>
      <c r="C76" s="18" t="s">
        <v>156</v>
      </c>
      <c r="D76" s="31"/>
      <c r="E76" s="31"/>
      <c r="F76" s="31"/>
      <c r="G76" s="31"/>
      <c r="H76" s="86">
        <v>0</v>
      </c>
      <c r="I76" s="24"/>
      <c r="J76" s="31"/>
      <c r="K76" s="8"/>
      <c r="L76" s="8"/>
      <c r="M76" s="8"/>
      <c r="N76" s="8"/>
      <c r="O76" s="8"/>
      <c r="P76" s="8"/>
      <c r="Q76" s="8"/>
    </row>
    <row r="77" spans="1:17" ht="12.75" customHeight="1" x14ac:dyDescent="0.25">
      <c r="A77" s="18"/>
      <c r="B77" s="53"/>
      <c r="C77" s="18" t="s">
        <v>157</v>
      </c>
      <c r="D77" s="31">
        <v>5</v>
      </c>
      <c r="E77" s="31">
        <v>740</v>
      </c>
      <c r="F77" s="31">
        <v>4</v>
      </c>
      <c r="G77" s="31">
        <v>40</v>
      </c>
      <c r="H77" s="86">
        <v>0</v>
      </c>
      <c r="I77" s="24"/>
      <c r="J77" s="31"/>
      <c r="K77" s="8"/>
      <c r="L77" s="8"/>
      <c r="M77" s="8"/>
      <c r="N77" s="8"/>
      <c r="O77" s="8"/>
      <c r="P77" s="8"/>
      <c r="Q77" s="8"/>
    </row>
    <row r="78" spans="1:17" ht="12.75" customHeight="1" x14ac:dyDescent="0.25">
      <c r="A78" s="18"/>
      <c r="B78" s="53"/>
      <c r="C78" s="18" t="s">
        <v>158</v>
      </c>
      <c r="D78" s="83">
        <v>3</v>
      </c>
      <c r="E78" s="83">
        <v>320</v>
      </c>
      <c r="F78" s="83">
        <v>3</v>
      </c>
      <c r="G78" s="83">
        <v>55</v>
      </c>
      <c r="H78" s="86">
        <v>0</v>
      </c>
      <c r="I78" s="24"/>
      <c r="J78" s="31"/>
      <c r="K78" s="8"/>
      <c r="L78" s="8"/>
      <c r="M78" s="8"/>
      <c r="N78" s="8"/>
      <c r="O78" s="8"/>
      <c r="P78" s="8"/>
      <c r="Q78" s="8"/>
    </row>
    <row r="79" spans="1:17" ht="12.75" customHeight="1" x14ac:dyDescent="0.25">
      <c r="A79" s="18"/>
      <c r="B79" s="53"/>
      <c r="C79" s="18" t="s">
        <v>159</v>
      </c>
      <c r="D79" s="83">
        <v>1</v>
      </c>
      <c r="E79" s="83">
        <v>90</v>
      </c>
      <c r="F79" s="83">
        <v>1</v>
      </c>
      <c r="G79" s="83">
        <v>10</v>
      </c>
      <c r="H79" s="86">
        <v>0</v>
      </c>
      <c r="I79" s="24"/>
      <c r="J79" s="31"/>
      <c r="K79" s="8"/>
      <c r="L79" s="8"/>
      <c r="M79" s="8"/>
      <c r="N79" s="8"/>
      <c r="O79" s="8"/>
      <c r="P79" s="8"/>
      <c r="Q79" s="8"/>
    </row>
    <row r="80" spans="1:17" ht="12.75" customHeight="1" x14ac:dyDescent="0.25">
      <c r="A80" s="18"/>
      <c r="B80" s="53"/>
      <c r="C80" s="18" t="s">
        <v>160</v>
      </c>
      <c r="D80" s="83"/>
      <c r="E80" s="83"/>
      <c r="F80" s="83"/>
      <c r="G80" s="83"/>
      <c r="H80" s="86">
        <v>0</v>
      </c>
      <c r="I80" s="24"/>
      <c r="J80" s="31"/>
      <c r="K80" s="8"/>
      <c r="L80" s="8"/>
      <c r="M80" s="8"/>
      <c r="N80" s="8"/>
      <c r="O80" s="8"/>
      <c r="P80" s="8"/>
      <c r="Q80" s="8"/>
    </row>
    <row r="81" spans="1:17" ht="12.75" customHeight="1" x14ac:dyDescent="0.25">
      <c r="A81" s="18"/>
      <c r="B81" s="53"/>
      <c r="C81" s="18" t="s">
        <v>161</v>
      </c>
      <c r="D81" s="83">
        <v>4</v>
      </c>
      <c r="E81" s="83">
        <v>654</v>
      </c>
      <c r="F81" s="83"/>
      <c r="G81" s="83"/>
      <c r="H81" s="86">
        <v>0</v>
      </c>
      <c r="I81" s="24"/>
      <c r="J81" s="31">
        <v>2</v>
      </c>
      <c r="K81" s="8">
        <v>160</v>
      </c>
      <c r="L81" s="8"/>
      <c r="M81" s="8"/>
      <c r="N81" s="8"/>
      <c r="O81" s="8"/>
      <c r="P81" s="8"/>
      <c r="Q81" s="8"/>
    </row>
    <row r="82" spans="1:17" ht="12.75" customHeight="1" x14ac:dyDescent="0.25">
      <c r="A82" s="18"/>
      <c r="B82" s="53"/>
      <c r="C82" s="18" t="s">
        <v>162</v>
      </c>
      <c r="D82" s="83">
        <v>1</v>
      </c>
      <c r="E82" s="83">
        <v>25</v>
      </c>
      <c r="F82" s="83">
        <v>1</v>
      </c>
      <c r="G82" s="83">
        <v>5</v>
      </c>
      <c r="H82" s="86">
        <v>0</v>
      </c>
      <c r="I82" s="24"/>
      <c r="J82" s="31"/>
      <c r="K82" s="31"/>
      <c r="L82" s="8"/>
      <c r="M82" s="8"/>
      <c r="N82" s="8"/>
      <c r="O82" s="8"/>
      <c r="P82" s="8"/>
      <c r="Q82" s="8"/>
    </row>
    <row r="83" spans="1:17" ht="12.75" customHeight="1" x14ac:dyDescent="0.25">
      <c r="A83" s="18"/>
      <c r="B83" s="53"/>
      <c r="C83" s="18" t="s">
        <v>163</v>
      </c>
      <c r="D83" s="83">
        <v>1</v>
      </c>
      <c r="E83" s="83">
        <v>45</v>
      </c>
      <c r="F83" s="83">
        <v>1</v>
      </c>
      <c r="G83" s="83">
        <v>3</v>
      </c>
      <c r="H83" s="86">
        <v>0</v>
      </c>
      <c r="I83" s="24"/>
      <c r="J83" s="31"/>
      <c r="K83" s="31"/>
      <c r="L83" s="8"/>
      <c r="M83" s="8"/>
      <c r="N83" s="8"/>
      <c r="O83" s="8"/>
      <c r="P83" s="8"/>
      <c r="Q83" s="8"/>
    </row>
    <row r="84" spans="1:17" ht="12.75" customHeight="1" x14ac:dyDescent="0.25">
      <c r="A84" s="18"/>
      <c r="B84" s="53"/>
      <c r="C84" s="18" t="s">
        <v>352</v>
      </c>
      <c r="D84" s="31">
        <v>1</v>
      </c>
      <c r="E84" s="31">
        <v>10</v>
      </c>
      <c r="F84" s="31">
        <v>1</v>
      </c>
      <c r="G84" s="31">
        <v>10</v>
      </c>
      <c r="H84" s="86">
        <v>0</v>
      </c>
      <c r="I84" s="24"/>
      <c r="J84" s="31"/>
      <c r="K84" s="31"/>
      <c r="L84" s="8"/>
      <c r="M84" s="8"/>
      <c r="N84" s="8"/>
      <c r="O84" s="8"/>
      <c r="P84" s="8"/>
      <c r="Q84" s="8"/>
    </row>
    <row r="85" spans="1:17" ht="12.75" customHeight="1" x14ac:dyDescent="0.25">
      <c r="A85" s="18"/>
      <c r="B85" s="53"/>
      <c r="C85" s="18" t="s">
        <v>171</v>
      </c>
      <c r="D85" s="93">
        <v>1</v>
      </c>
      <c r="E85" s="93">
        <v>145</v>
      </c>
      <c r="F85" s="93"/>
      <c r="G85" s="93"/>
      <c r="H85" s="86">
        <v>0</v>
      </c>
      <c r="I85" s="24"/>
      <c r="J85" s="31"/>
      <c r="K85" s="31"/>
      <c r="L85" s="8"/>
      <c r="M85" s="8"/>
      <c r="N85" s="8"/>
      <c r="O85" s="8"/>
      <c r="P85" s="8"/>
      <c r="Q85" s="8"/>
    </row>
    <row r="86" spans="1:17" ht="12.75" customHeight="1" x14ac:dyDescent="0.25">
      <c r="A86" s="18"/>
      <c r="B86" s="53"/>
      <c r="C86" s="18" t="s">
        <v>164</v>
      </c>
      <c r="D86" s="31">
        <v>2</v>
      </c>
      <c r="E86" s="31">
        <v>148</v>
      </c>
      <c r="F86" s="31"/>
      <c r="G86" s="31"/>
      <c r="H86" s="86">
        <v>0</v>
      </c>
      <c r="I86" s="24"/>
      <c r="J86" s="31"/>
      <c r="K86" s="31"/>
      <c r="L86" s="8"/>
      <c r="M86" s="8"/>
      <c r="N86" s="8"/>
      <c r="O86" s="8"/>
      <c r="P86" s="8"/>
      <c r="Q86" s="8"/>
    </row>
    <row r="87" spans="1:17" ht="12.75" customHeight="1" x14ac:dyDescent="0.25">
      <c r="A87" s="18"/>
      <c r="B87" s="53"/>
      <c r="C87" s="18" t="s">
        <v>357</v>
      </c>
      <c r="D87" s="31">
        <v>3</v>
      </c>
      <c r="E87" s="31">
        <v>340</v>
      </c>
      <c r="F87" s="31"/>
      <c r="G87" s="31"/>
      <c r="H87" s="86">
        <v>0</v>
      </c>
      <c r="I87" s="24"/>
      <c r="J87" s="31"/>
      <c r="K87" s="31"/>
      <c r="L87" s="8"/>
      <c r="M87" s="8"/>
      <c r="N87" s="8"/>
      <c r="O87" s="8"/>
      <c r="P87" s="8"/>
      <c r="Q87" s="8"/>
    </row>
    <row r="88" spans="1:17" ht="12.75" customHeight="1" x14ac:dyDescent="0.25">
      <c r="A88" s="18"/>
      <c r="B88" s="53"/>
      <c r="C88" s="18" t="s">
        <v>165</v>
      </c>
      <c r="D88" s="31">
        <v>1</v>
      </c>
      <c r="E88" s="31">
        <v>65</v>
      </c>
      <c r="F88" s="31">
        <v>1</v>
      </c>
      <c r="G88" s="31">
        <v>15</v>
      </c>
      <c r="H88" s="86">
        <v>0</v>
      </c>
      <c r="I88" s="24"/>
      <c r="J88" s="31"/>
      <c r="K88" s="31"/>
      <c r="L88" s="8"/>
      <c r="M88" s="8"/>
      <c r="N88" s="8"/>
      <c r="O88" s="8"/>
      <c r="P88" s="8"/>
      <c r="Q88" s="8"/>
    </row>
    <row r="89" spans="1:17" ht="12.75" customHeight="1" x14ac:dyDescent="0.25">
      <c r="A89" s="18"/>
      <c r="B89" s="53"/>
      <c r="C89" s="18" t="s">
        <v>166</v>
      </c>
      <c r="D89" s="31"/>
      <c r="E89" s="31"/>
      <c r="F89" s="31"/>
      <c r="G89" s="31"/>
      <c r="H89" s="86">
        <v>0</v>
      </c>
      <c r="I89" s="24"/>
      <c r="J89" s="31"/>
      <c r="K89" s="31"/>
      <c r="L89" s="8"/>
      <c r="M89" s="8"/>
      <c r="N89" s="8"/>
      <c r="O89" s="8"/>
      <c r="P89" s="8"/>
      <c r="Q89" s="8"/>
    </row>
    <row r="90" spans="1:17" ht="12.75" customHeight="1" x14ac:dyDescent="0.25">
      <c r="A90" s="18"/>
      <c r="B90" s="53"/>
      <c r="C90" s="18" t="s">
        <v>353</v>
      </c>
      <c r="D90" s="31">
        <v>2</v>
      </c>
      <c r="E90" s="31">
        <v>305</v>
      </c>
      <c r="F90" s="31">
        <v>1</v>
      </c>
      <c r="G90" s="31">
        <v>20</v>
      </c>
      <c r="H90" s="86">
        <v>0</v>
      </c>
      <c r="I90" s="24"/>
      <c r="J90" s="31"/>
      <c r="K90" s="31"/>
      <c r="L90" s="8"/>
      <c r="M90" s="8"/>
      <c r="N90" s="8"/>
      <c r="O90" s="8"/>
      <c r="P90" s="8"/>
      <c r="Q90" s="8"/>
    </row>
    <row r="91" spans="1:17" ht="12.75" customHeight="1" x14ac:dyDescent="0.25">
      <c r="A91" s="18"/>
      <c r="B91" s="53"/>
      <c r="C91" s="18" t="s">
        <v>354</v>
      </c>
      <c r="D91" s="31">
        <v>1</v>
      </c>
      <c r="E91" s="31">
        <v>85</v>
      </c>
      <c r="F91" s="31">
        <v>1</v>
      </c>
      <c r="G91" s="31">
        <v>15</v>
      </c>
      <c r="H91" s="86">
        <v>0</v>
      </c>
      <c r="I91" s="24"/>
      <c r="J91" s="31"/>
      <c r="K91" s="31"/>
      <c r="L91" s="8"/>
      <c r="M91" s="8"/>
      <c r="N91" s="8"/>
      <c r="O91" s="8"/>
      <c r="P91" s="8"/>
      <c r="Q91" s="8"/>
    </row>
    <row r="92" spans="1:17" ht="12.75" customHeight="1" x14ac:dyDescent="0.25">
      <c r="A92" s="18"/>
      <c r="B92" s="53"/>
      <c r="C92" s="18" t="s">
        <v>167</v>
      </c>
      <c r="D92" s="31">
        <v>1</v>
      </c>
      <c r="E92" s="31">
        <v>114</v>
      </c>
      <c r="F92" s="31">
        <v>1</v>
      </c>
      <c r="G92" s="31">
        <v>15</v>
      </c>
      <c r="H92" s="86">
        <v>0</v>
      </c>
      <c r="I92" s="24"/>
      <c r="J92" s="31"/>
      <c r="K92" s="31"/>
      <c r="L92" s="8"/>
      <c r="M92" s="8"/>
      <c r="N92" s="8"/>
      <c r="O92" s="8"/>
      <c r="P92" s="8"/>
      <c r="Q92" s="8"/>
    </row>
    <row r="93" spans="1:17" ht="12.75" customHeight="1" x14ac:dyDescent="0.25">
      <c r="A93" s="18"/>
      <c r="B93" s="53"/>
      <c r="C93" s="18" t="s">
        <v>355</v>
      </c>
      <c r="D93" s="31">
        <v>2</v>
      </c>
      <c r="E93" s="31">
        <v>125</v>
      </c>
      <c r="F93" s="31">
        <v>1</v>
      </c>
      <c r="G93" s="31">
        <v>25</v>
      </c>
      <c r="H93" s="86">
        <v>0</v>
      </c>
      <c r="I93" s="24"/>
      <c r="J93" s="31"/>
      <c r="K93" s="31"/>
      <c r="L93" s="8"/>
      <c r="M93" s="8"/>
      <c r="N93" s="8"/>
      <c r="O93" s="8"/>
      <c r="P93" s="8"/>
      <c r="Q93" s="8"/>
    </row>
    <row r="94" spans="1:17" ht="12.75" customHeight="1" x14ac:dyDescent="0.25">
      <c r="A94" s="18"/>
      <c r="B94" s="53"/>
      <c r="C94" s="18" t="s">
        <v>168</v>
      </c>
      <c r="D94" s="31"/>
      <c r="E94" s="31"/>
      <c r="F94" s="31"/>
      <c r="G94" s="31"/>
      <c r="H94" s="86">
        <v>0</v>
      </c>
      <c r="I94" s="24"/>
      <c r="J94" s="31"/>
      <c r="K94" s="31"/>
      <c r="L94" s="8"/>
      <c r="M94" s="8"/>
      <c r="N94" s="8"/>
      <c r="O94" s="8"/>
      <c r="P94" s="8"/>
      <c r="Q94" s="8"/>
    </row>
    <row r="95" spans="1:17" ht="12.75" customHeight="1" x14ac:dyDescent="0.25">
      <c r="A95" s="18"/>
      <c r="B95" s="53"/>
      <c r="C95" s="18" t="s">
        <v>169</v>
      </c>
      <c r="D95" s="31"/>
      <c r="E95" s="31"/>
      <c r="F95" s="31"/>
      <c r="G95" s="31"/>
      <c r="H95" s="86">
        <v>0</v>
      </c>
      <c r="I95" s="24"/>
      <c r="J95" s="31"/>
      <c r="K95" s="31"/>
      <c r="L95" s="8"/>
      <c r="M95" s="8"/>
      <c r="N95" s="8"/>
      <c r="O95" s="8"/>
      <c r="P95" s="8"/>
      <c r="Q95" s="8"/>
    </row>
    <row r="96" spans="1:17" ht="12.75" customHeight="1" x14ac:dyDescent="0.25">
      <c r="A96" s="18"/>
      <c r="B96" s="53"/>
      <c r="C96" s="18" t="s">
        <v>358</v>
      </c>
      <c r="D96" s="31"/>
      <c r="E96" s="31"/>
      <c r="F96" s="31"/>
      <c r="G96" s="31"/>
      <c r="H96" s="86">
        <v>0</v>
      </c>
      <c r="I96" s="24"/>
      <c r="J96" s="31"/>
      <c r="K96" s="31"/>
      <c r="L96" s="8"/>
      <c r="M96" s="8"/>
      <c r="N96" s="8"/>
      <c r="O96" s="8"/>
      <c r="P96" s="8"/>
      <c r="Q96" s="8"/>
    </row>
    <row r="97" spans="1:17" ht="12.75" customHeight="1" x14ac:dyDescent="0.25">
      <c r="A97" s="18"/>
      <c r="B97" s="53"/>
      <c r="C97" s="18" t="s">
        <v>170</v>
      </c>
      <c r="D97" s="31">
        <v>2</v>
      </c>
      <c r="E97" s="31">
        <f>10+45</f>
        <v>55</v>
      </c>
      <c r="F97" s="31">
        <v>2</v>
      </c>
      <c r="G97" s="31">
        <v>55</v>
      </c>
      <c r="H97" s="86">
        <v>0</v>
      </c>
      <c r="I97" s="24"/>
      <c r="J97" s="31"/>
      <c r="K97" s="31"/>
      <c r="L97" s="8"/>
      <c r="M97" s="8"/>
      <c r="N97" s="8"/>
      <c r="O97" s="8"/>
      <c r="P97" s="8"/>
      <c r="Q97" s="8"/>
    </row>
    <row r="98" spans="1:17" ht="12.75" customHeight="1" x14ac:dyDescent="0.25">
      <c r="A98" s="18"/>
      <c r="B98" s="53"/>
      <c r="C98" s="18" t="s">
        <v>356</v>
      </c>
      <c r="D98" s="31">
        <v>3</v>
      </c>
      <c r="E98" s="31">
        <f>10+15+86</f>
        <v>111</v>
      </c>
      <c r="F98" s="31">
        <v>3</v>
      </c>
      <c r="G98" s="31">
        <v>87</v>
      </c>
      <c r="H98" s="86">
        <v>0</v>
      </c>
      <c r="I98" s="24"/>
      <c r="J98" s="31"/>
      <c r="K98" s="31"/>
      <c r="L98" s="8"/>
      <c r="M98" s="8"/>
      <c r="N98" s="8"/>
      <c r="O98" s="8"/>
      <c r="P98" s="8"/>
      <c r="Q98" s="8"/>
    </row>
    <row r="99" spans="1:17" ht="12.75" customHeight="1" x14ac:dyDescent="0.25">
      <c r="A99" s="18"/>
      <c r="B99" s="53"/>
      <c r="C99" s="18" t="s">
        <v>172</v>
      </c>
      <c r="D99" s="31">
        <v>3</v>
      </c>
      <c r="E99" s="31">
        <f>15+10+131</f>
        <v>156</v>
      </c>
      <c r="F99" s="31">
        <v>3</v>
      </c>
      <c r="G99" s="31">
        <v>156</v>
      </c>
      <c r="H99" s="86">
        <v>0</v>
      </c>
      <c r="I99" s="24"/>
      <c r="J99" s="31"/>
      <c r="K99" s="31"/>
      <c r="L99" s="8"/>
      <c r="M99" s="8"/>
      <c r="N99" s="8"/>
      <c r="O99" s="8"/>
      <c r="P99" s="8"/>
      <c r="Q99" s="8"/>
    </row>
    <row r="100" spans="1:17" ht="12.75" customHeight="1" x14ac:dyDescent="0.25">
      <c r="A100" s="18"/>
      <c r="B100" s="53"/>
      <c r="C100" s="18" t="s">
        <v>173</v>
      </c>
      <c r="D100" s="31"/>
      <c r="E100" s="31"/>
      <c r="F100" s="31"/>
      <c r="G100" s="31"/>
      <c r="H100" s="86">
        <v>0</v>
      </c>
      <c r="I100" s="24"/>
      <c r="J100" s="31"/>
      <c r="K100" s="31"/>
      <c r="L100" s="8"/>
      <c r="M100" s="8"/>
      <c r="N100" s="8"/>
      <c r="O100" s="8"/>
      <c r="P100" s="8"/>
      <c r="Q100" s="8"/>
    </row>
    <row r="101" spans="1:17" ht="12.75" customHeight="1" x14ac:dyDescent="0.25">
      <c r="A101" s="18"/>
      <c r="B101" s="53"/>
      <c r="C101" s="50" t="s">
        <v>174</v>
      </c>
      <c r="D101" s="31">
        <v>5</v>
      </c>
      <c r="E101" s="31">
        <f>15+30+315+87+8</f>
        <v>455</v>
      </c>
      <c r="F101" s="31">
        <v>5</v>
      </c>
      <c r="G101" s="31">
        <v>455</v>
      </c>
      <c r="H101" s="86">
        <v>0</v>
      </c>
      <c r="I101" s="24"/>
      <c r="J101" s="31"/>
      <c r="K101" s="31"/>
      <c r="L101" s="8"/>
      <c r="M101" s="8"/>
      <c r="N101" s="8"/>
      <c r="O101" s="8"/>
      <c r="P101" s="8"/>
      <c r="Q101" s="8"/>
    </row>
    <row r="102" spans="1:17" ht="22.5" customHeight="1" x14ac:dyDescent="0.2">
      <c r="A102" s="18"/>
      <c r="B102" s="18"/>
      <c r="C102" s="19" t="s">
        <v>30</v>
      </c>
      <c r="D102" s="31">
        <f t="shared" ref="D102:Q102" si="1">SUM(D66:D101)</f>
        <v>73</v>
      </c>
      <c r="E102" s="31">
        <f t="shared" si="1"/>
        <v>7440</v>
      </c>
      <c r="F102" s="31">
        <f t="shared" si="1"/>
        <v>47</v>
      </c>
      <c r="G102" s="31">
        <f t="shared" si="1"/>
        <v>1773</v>
      </c>
      <c r="H102" s="31">
        <f t="shared" si="1"/>
        <v>0</v>
      </c>
      <c r="I102" s="31">
        <f t="shared" si="1"/>
        <v>0</v>
      </c>
      <c r="J102" s="31">
        <f t="shared" si="1"/>
        <v>40</v>
      </c>
      <c r="K102" s="31">
        <f t="shared" si="1"/>
        <v>2410</v>
      </c>
      <c r="L102" s="31">
        <f t="shared" si="1"/>
        <v>0</v>
      </c>
      <c r="M102" s="31">
        <f t="shared" si="1"/>
        <v>0</v>
      </c>
      <c r="N102" s="31">
        <f t="shared" si="1"/>
        <v>0</v>
      </c>
      <c r="O102" s="31">
        <f t="shared" si="1"/>
        <v>0</v>
      </c>
      <c r="P102" s="31">
        <f t="shared" si="1"/>
        <v>0</v>
      </c>
      <c r="Q102" s="31">
        <f t="shared" si="1"/>
        <v>0</v>
      </c>
    </row>
    <row r="103" spans="1:17" ht="15" x14ac:dyDescent="0.25">
      <c r="A103" s="18"/>
      <c r="B103" s="18"/>
      <c r="C103" s="55" t="s">
        <v>223</v>
      </c>
      <c r="D103" s="31"/>
      <c r="E103" s="31"/>
      <c r="F103" s="31"/>
      <c r="G103" s="31"/>
      <c r="H103" s="86">
        <v>0</v>
      </c>
      <c r="I103" s="24"/>
      <c r="J103" s="31"/>
      <c r="K103" s="31"/>
      <c r="L103" s="8"/>
      <c r="M103" s="8"/>
      <c r="N103" s="8"/>
      <c r="O103" s="8"/>
      <c r="P103" s="8"/>
      <c r="Q103" s="8"/>
    </row>
    <row r="104" spans="1:17" ht="15" x14ac:dyDescent="0.25">
      <c r="A104" s="18"/>
      <c r="B104" s="53"/>
      <c r="C104" s="50" t="s">
        <v>175</v>
      </c>
      <c r="D104" s="102">
        <v>25</v>
      </c>
      <c r="E104" s="102">
        <f>350+130+70+160+200+65+8+10+160+15+200+20+15+80+3+500+400+700</f>
        <v>3086</v>
      </c>
      <c r="F104" s="83">
        <v>17</v>
      </c>
      <c r="G104" s="83">
        <v>1782</v>
      </c>
      <c r="H104" s="86">
        <v>0</v>
      </c>
      <c r="I104" s="24"/>
      <c r="J104" s="31">
        <v>13</v>
      </c>
      <c r="K104" s="31">
        <v>740</v>
      </c>
      <c r="L104" s="8"/>
      <c r="M104" s="8"/>
      <c r="N104" s="8"/>
      <c r="O104" s="8"/>
      <c r="P104" s="8"/>
      <c r="Q104" s="8"/>
    </row>
    <row r="105" spans="1:17" ht="15" x14ac:dyDescent="0.25">
      <c r="A105" s="18"/>
      <c r="B105" s="53"/>
      <c r="C105" s="50" t="s">
        <v>176</v>
      </c>
      <c r="D105" s="31">
        <v>6</v>
      </c>
      <c r="E105" s="31">
        <v>1954</v>
      </c>
      <c r="F105" s="31">
        <v>2</v>
      </c>
      <c r="G105" s="31">
        <v>115</v>
      </c>
      <c r="H105" s="86">
        <v>0</v>
      </c>
      <c r="I105" s="24"/>
      <c r="J105" s="31">
        <v>9</v>
      </c>
      <c r="K105" s="31">
        <v>355</v>
      </c>
      <c r="L105" s="8"/>
      <c r="M105" s="8"/>
      <c r="N105" s="8"/>
      <c r="O105" s="8"/>
      <c r="P105" s="8"/>
      <c r="Q105" s="8"/>
    </row>
    <row r="106" spans="1:17" ht="15" x14ac:dyDescent="0.25">
      <c r="A106" s="18"/>
      <c r="B106" s="53"/>
      <c r="C106" s="50" t="s">
        <v>177</v>
      </c>
      <c r="D106" s="31">
        <v>5</v>
      </c>
      <c r="E106" s="31">
        <v>540</v>
      </c>
      <c r="F106" s="31">
        <v>5</v>
      </c>
      <c r="G106" s="31">
        <v>63</v>
      </c>
      <c r="H106" s="86">
        <v>0</v>
      </c>
      <c r="I106" s="24"/>
      <c r="J106" s="31">
        <v>6</v>
      </c>
      <c r="K106" s="31">
        <v>240</v>
      </c>
      <c r="L106" s="8"/>
      <c r="M106" s="8"/>
      <c r="N106" s="8"/>
      <c r="O106" s="8"/>
      <c r="P106" s="8"/>
      <c r="Q106" s="8"/>
    </row>
    <row r="107" spans="1:17" ht="15" x14ac:dyDescent="0.25">
      <c r="A107" s="18"/>
      <c r="B107" s="53"/>
      <c r="C107" s="50" t="s">
        <v>178</v>
      </c>
      <c r="D107" s="31">
        <v>8</v>
      </c>
      <c r="E107" s="31">
        <f>15+630+12+45+30+60+70+10</f>
        <v>872</v>
      </c>
      <c r="F107" s="31">
        <v>4</v>
      </c>
      <c r="G107" s="31">
        <v>320</v>
      </c>
      <c r="H107" s="86">
        <v>0</v>
      </c>
      <c r="I107" s="24"/>
      <c r="J107" s="31"/>
      <c r="K107" s="31"/>
      <c r="L107" s="8"/>
      <c r="M107" s="8"/>
      <c r="N107" s="8"/>
      <c r="O107" s="8"/>
      <c r="P107" s="8"/>
      <c r="Q107" s="8"/>
    </row>
    <row r="108" spans="1:17" ht="15" x14ac:dyDescent="0.25">
      <c r="A108" s="18"/>
      <c r="B108" s="53"/>
      <c r="C108" s="50" t="s">
        <v>179</v>
      </c>
      <c r="D108" s="31">
        <v>9</v>
      </c>
      <c r="E108" s="31">
        <f>10+10+15+55+6+60+85+65+70+300</f>
        <v>676</v>
      </c>
      <c r="F108" s="31">
        <v>6</v>
      </c>
      <c r="G108" s="31">
        <v>176</v>
      </c>
      <c r="H108" s="86">
        <v>0</v>
      </c>
      <c r="I108" s="24"/>
      <c r="J108" s="31"/>
      <c r="K108" s="31"/>
      <c r="L108" s="8"/>
      <c r="M108" s="8"/>
      <c r="N108" s="8"/>
      <c r="O108" s="8"/>
      <c r="P108" s="8"/>
      <c r="Q108" s="8"/>
    </row>
    <row r="109" spans="1:17" ht="15" x14ac:dyDescent="0.25">
      <c r="A109" s="18"/>
      <c r="B109" s="53"/>
      <c r="C109" s="50" t="s">
        <v>180</v>
      </c>
      <c r="D109" s="31">
        <v>9</v>
      </c>
      <c r="E109" s="31">
        <f>30+60+20+10+20+15+15+86+6+300+268</f>
        <v>830</v>
      </c>
      <c r="F109" s="31">
        <v>5</v>
      </c>
      <c r="G109" s="31">
        <v>105</v>
      </c>
      <c r="H109" s="86">
        <v>0</v>
      </c>
      <c r="I109" s="24"/>
      <c r="J109" s="31"/>
      <c r="K109" s="31"/>
      <c r="L109" s="8"/>
      <c r="M109" s="8"/>
      <c r="N109" s="8"/>
      <c r="O109" s="8"/>
      <c r="P109" s="8"/>
      <c r="Q109" s="8"/>
    </row>
    <row r="110" spans="1:17" ht="15" x14ac:dyDescent="0.25">
      <c r="A110" s="18"/>
      <c r="B110" s="53"/>
      <c r="C110" s="50" t="s">
        <v>181</v>
      </c>
      <c r="D110" s="31">
        <v>3</v>
      </c>
      <c r="E110" s="31">
        <f>15+25+15+200</f>
        <v>255</v>
      </c>
      <c r="F110" s="31">
        <v>3</v>
      </c>
      <c r="G110" s="31">
        <v>55</v>
      </c>
      <c r="H110" s="86">
        <v>0</v>
      </c>
      <c r="I110" s="24"/>
      <c r="J110" s="31"/>
      <c r="K110" s="31"/>
      <c r="L110" s="8"/>
      <c r="M110" s="8"/>
      <c r="N110" s="8"/>
      <c r="O110" s="8"/>
      <c r="P110" s="8"/>
      <c r="Q110" s="8"/>
    </row>
    <row r="111" spans="1:17" ht="15" x14ac:dyDescent="0.25">
      <c r="A111" s="18"/>
      <c r="B111" s="53"/>
      <c r="C111" s="50" t="s">
        <v>182</v>
      </c>
      <c r="D111" s="31">
        <v>6</v>
      </c>
      <c r="E111" s="31">
        <v>460</v>
      </c>
      <c r="F111" s="31">
        <v>2</v>
      </c>
      <c r="G111" s="31">
        <v>60</v>
      </c>
      <c r="H111" s="86">
        <v>0</v>
      </c>
      <c r="I111" s="24"/>
      <c r="J111" s="31">
        <v>1</v>
      </c>
      <c r="K111" s="31">
        <v>40</v>
      </c>
      <c r="L111" s="8"/>
      <c r="M111" s="8"/>
      <c r="N111" s="8"/>
      <c r="O111" s="8"/>
      <c r="P111" s="8"/>
      <c r="Q111" s="8"/>
    </row>
    <row r="112" spans="1:17" ht="15" x14ac:dyDescent="0.25">
      <c r="A112" s="18"/>
      <c r="B112" s="53"/>
      <c r="C112" s="50" t="s">
        <v>183</v>
      </c>
      <c r="D112" s="31">
        <v>3</v>
      </c>
      <c r="E112" s="31">
        <f>10+7+10</f>
        <v>27</v>
      </c>
      <c r="F112" s="31">
        <v>3</v>
      </c>
      <c r="G112" s="31">
        <f>10+7+10</f>
        <v>27</v>
      </c>
      <c r="H112" s="86">
        <v>0</v>
      </c>
      <c r="I112" s="24"/>
      <c r="J112" s="31"/>
      <c r="K112" s="31"/>
      <c r="L112" s="8"/>
      <c r="M112" s="8"/>
      <c r="N112" s="8"/>
      <c r="O112" s="8"/>
      <c r="P112" s="8"/>
      <c r="Q112" s="8"/>
    </row>
    <row r="113" spans="1:17" ht="15" x14ac:dyDescent="0.25">
      <c r="A113" s="18"/>
      <c r="B113" s="53"/>
      <c r="C113" s="50" t="s">
        <v>184</v>
      </c>
      <c r="D113" s="31"/>
      <c r="E113" s="31"/>
      <c r="F113" s="31"/>
      <c r="G113" s="31"/>
      <c r="H113" s="86">
        <v>0</v>
      </c>
      <c r="I113" s="24"/>
      <c r="J113" s="31"/>
      <c r="K113" s="31"/>
      <c r="L113" s="8"/>
      <c r="M113" s="8"/>
      <c r="N113" s="8"/>
      <c r="O113" s="8"/>
      <c r="P113" s="8"/>
      <c r="Q113" s="8"/>
    </row>
    <row r="114" spans="1:17" ht="15" x14ac:dyDescent="0.25">
      <c r="A114" s="18"/>
      <c r="B114" s="53"/>
      <c r="C114" s="50" t="s">
        <v>185</v>
      </c>
      <c r="D114" s="31">
        <v>10</v>
      </c>
      <c r="E114" s="31">
        <f>30+160+131+15+160+170+250+40+10+10</f>
        <v>976</v>
      </c>
      <c r="F114" s="31">
        <v>4</v>
      </c>
      <c r="G114" s="31">
        <v>430</v>
      </c>
      <c r="H114" s="86">
        <v>0</v>
      </c>
      <c r="I114" s="24"/>
      <c r="J114" s="31"/>
      <c r="K114" s="31"/>
      <c r="L114" s="8"/>
      <c r="M114" s="8"/>
      <c r="N114" s="8"/>
      <c r="O114" s="8"/>
      <c r="P114" s="8"/>
      <c r="Q114" s="8"/>
    </row>
    <row r="115" spans="1:17" ht="15" x14ac:dyDescent="0.25">
      <c r="A115" s="18"/>
      <c r="B115" s="53"/>
      <c r="C115" s="50" t="s">
        <v>186</v>
      </c>
      <c r="D115" s="31">
        <v>1</v>
      </c>
      <c r="E115" s="31">
        <v>100</v>
      </c>
      <c r="F115" s="31">
        <v>1</v>
      </c>
      <c r="G115" s="31">
        <v>4.4000000000000004</v>
      </c>
      <c r="H115" s="86">
        <v>0</v>
      </c>
      <c r="I115" s="24"/>
      <c r="J115" s="31"/>
      <c r="K115" s="31"/>
      <c r="L115" s="8"/>
      <c r="M115" s="8"/>
      <c r="N115" s="8"/>
      <c r="O115" s="8"/>
      <c r="P115" s="8"/>
      <c r="Q115" s="8"/>
    </row>
    <row r="116" spans="1:17" ht="15" x14ac:dyDescent="0.25">
      <c r="A116" s="18"/>
      <c r="B116" s="53"/>
      <c r="C116" s="50" t="s">
        <v>187</v>
      </c>
      <c r="D116" s="83"/>
      <c r="E116" s="83"/>
      <c r="F116" s="83"/>
      <c r="G116" s="83"/>
      <c r="H116" s="86">
        <v>0</v>
      </c>
      <c r="I116" s="24"/>
      <c r="J116" s="31"/>
      <c r="K116" s="31"/>
      <c r="L116" s="8"/>
      <c r="M116" s="8"/>
      <c r="N116" s="8"/>
      <c r="O116" s="8"/>
      <c r="P116" s="8"/>
      <c r="Q116" s="8"/>
    </row>
    <row r="117" spans="1:17" ht="15" x14ac:dyDescent="0.25">
      <c r="A117" s="18"/>
      <c r="B117" s="53"/>
      <c r="C117" s="50" t="s">
        <v>188</v>
      </c>
      <c r="D117" s="83">
        <v>18</v>
      </c>
      <c r="E117" s="83">
        <f>360+15+320+20+155+360+80+60+15+54+80+50+10+10+200+60+194+100</f>
        <v>2143</v>
      </c>
      <c r="F117" s="83">
        <v>9</v>
      </c>
      <c r="G117" s="83">
        <v>1210</v>
      </c>
      <c r="H117" s="86">
        <v>0</v>
      </c>
      <c r="I117" s="24"/>
      <c r="J117" s="31">
        <v>19</v>
      </c>
      <c r="K117" s="31">
        <v>740</v>
      </c>
      <c r="L117" s="8"/>
      <c r="M117" s="8"/>
      <c r="N117" s="8"/>
      <c r="O117" s="8"/>
      <c r="P117" s="8"/>
      <c r="Q117" s="8"/>
    </row>
    <row r="118" spans="1:17" ht="15" x14ac:dyDescent="0.25">
      <c r="A118" s="18"/>
      <c r="B118" s="53"/>
      <c r="C118" s="50" t="s">
        <v>189</v>
      </c>
      <c r="D118" s="83">
        <v>7</v>
      </c>
      <c r="E118" s="83">
        <f>15+250+670+150+45+80+85</f>
        <v>1295</v>
      </c>
      <c r="F118" s="83">
        <v>3</v>
      </c>
      <c r="G118" s="83">
        <v>120</v>
      </c>
      <c r="H118" s="86">
        <v>0</v>
      </c>
      <c r="I118" s="24"/>
      <c r="J118" s="31">
        <v>1</v>
      </c>
      <c r="K118" s="31">
        <v>40</v>
      </c>
      <c r="L118" s="8"/>
      <c r="M118" s="8"/>
      <c r="N118" s="8"/>
      <c r="O118" s="8"/>
      <c r="P118" s="8"/>
      <c r="Q118" s="8"/>
    </row>
    <row r="119" spans="1:17" ht="15" x14ac:dyDescent="0.25">
      <c r="A119" s="18"/>
      <c r="B119" s="53"/>
      <c r="C119" s="50" t="s">
        <v>190</v>
      </c>
      <c r="D119" s="83">
        <v>3</v>
      </c>
      <c r="E119" s="83">
        <f>15+200+8</f>
        <v>223</v>
      </c>
      <c r="F119" s="83">
        <v>3</v>
      </c>
      <c r="G119" s="83">
        <v>223</v>
      </c>
      <c r="H119" s="86">
        <v>0</v>
      </c>
      <c r="I119" s="24"/>
      <c r="J119" s="31"/>
      <c r="K119" s="31"/>
      <c r="L119" s="8"/>
      <c r="M119" s="8"/>
      <c r="N119" s="8"/>
      <c r="O119" s="8"/>
      <c r="P119" s="8"/>
      <c r="Q119" s="8"/>
    </row>
    <row r="120" spans="1:17" ht="15" x14ac:dyDescent="0.25">
      <c r="A120" s="18"/>
      <c r="B120" s="53"/>
      <c r="C120" s="50" t="s">
        <v>191</v>
      </c>
      <c r="D120" s="83"/>
      <c r="E120" s="83"/>
      <c r="F120" s="83"/>
      <c r="G120" s="83"/>
      <c r="H120" s="86">
        <v>0</v>
      </c>
      <c r="I120" s="24"/>
      <c r="J120" s="31"/>
      <c r="K120" s="31"/>
      <c r="L120" s="8"/>
      <c r="M120" s="8"/>
      <c r="N120" s="8"/>
      <c r="O120" s="8"/>
      <c r="P120" s="8"/>
      <c r="Q120" s="8"/>
    </row>
    <row r="121" spans="1:17" ht="15" x14ac:dyDescent="0.25">
      <c r="A121" s="18"/>
      <c r="B121" s="53"/>
      <c r="C121" s="50" t="s">
        <v>192</v>
      </c>
      <c r="D121" s="83"/>
      <c r="E121" s="83"/>
      <c r="F121" s="83"/>
      <c r="G121" s="83"/>
      <c r="H121" s="86">
        <v>0</v>
      </c>
      <c r="I121" s="24"/>
      <c r="J121" s="31"/>
      <c r="K121" s="31"/>
      <c r="L121" s="8"/>
      <c r="M121" s="8"/>
      <c r="N121" s="8"/>
      <c r="O121" s="8"/>
      <c r="P121" s="8"/>
      <c r="Q121" s="8"/>
    </row>
    <row r="122" spans="1:17" ht="15" x14ac:dyDescent="0.25">
      <c r="A122" s="18"/>
      <c r="B122" s="53"/>
      <c r="C122" s="50" t="s">
        <v>193</v>
      </c>
      <c r="D122" s="31">
        <v>5</v>
      </c>
      <c r="E122" s="31">
        <f>4.4+25+10+10+14</f>
        <v>63.4</v>
      </c>
      <c r="F122" s="31">
        <v>5</v>
      </c>
      <c r="G122" s="31">
        <v>63.4</v>
      </c>
      <c r="H122" s="86">
        <v>0</v>
      </c>
      <c r="I122" s="24"/>
      <c r="J122" s="31"/>
      <c r="K122" s="31"/>
      <c r="L122" s="8"/>
      <c r="M122" s="8"/>
      <c r="N122" s="8"/>
      <c r="O122" s="8"/>
      <c r="P122" s="8"/>
      <c r="Q122" s="8"/>
    </row>
    <row r="123" spans="1:17" ht="15" x14ac:dyDescent="0.25">
      <c r="A123" s="18"/>
      <c r="B123" s="53"/>
      <c r="C123" s="50" t="s">
        <v>194</v>
      </c>
      <c r="D123" s="83">
        <v>4</v>
      </c>
      <c r="E123" s="83">
        <f>200+14+70+2.5</f>
        <v>286.5</v>
      </c>
      <c r="F123" s="83">
        <v>4</v>
      </c>
      <c r="G123" s="83">
        <v>286.5</v>
      </c>
      <c r="H123" s="86">
        <v>0</v>
      </c>
      <c r="I123" s="24"/>
      <c r="J123" s="31"/>
      <c r="K123" s="31"/>
      <c r="L123" s="8"/>
      <c r="M123" s="8"/>
      <c r="N123" s="8"/>
      <c r="O123" s="8"/>
      <c r="P123" s="8"/>
      <c r="Q123" s="8"/>
    </row>
    <row r="124" spans="1:17" ht="15" x14ac:dyDescent="0.25">
      <c r="A124" s="18"/>
      <c r="B124" s="53"/>
      <c r="C124" s="50" t="s">
        <v>195</v>
      </c>
      <c r="D124" s="83"/>
      <c r="E124" s="83"/>
      <c r="F124" s="83"/>
      <c r="G124" s="83"/>
      <c r="H124" s="86">
        <v>0</v>
      </c>
      <c r="I124" s="24"/>
      <c r="J124" s="31"/>
      <c r="K124" s="31"/>
      <c r="L124" s="8"/>
      <c r="M124" s="8"/>
      <c r="N124" s="8"/>
      <c r="O124" s="8"/>
      <c r="P124" s="8"/>
      <c r="Q124" s="8"/>
    </row>
    <row r="125" spans="1:17" ht="15" x14ac:dyDescent="0.25">
      <c r="A125" s="18"/>
      <c r="B125" s="53"/>
      <c r="C125" s="50" t="s">
        <v>196</v>
      </c>
      <c r="D125" s="83">
        <v>1</v>
      </c>
      <c r="E125" s="83">
        <v>98</v>
      </c>
      <c r="F125" s="83"/>
      <c r="G125" s="83"/>
      <c r="H125" s="86">
        <v>0</v>
      </c>
      <c r="I125" s="24"/>
      <c r="J125" s="31"/>
      <c r="K125" s="31"/>
      <c r="L125" s="8"/>
      <c r="M125" s="8"/>
      <c r="N125" s="8"/>
      <c r="O125" s="8"/>
      <c r="P125" s="8"/>
      <c r="Q125" s="8"/>
    </row>
    <row r="126" spans="1:17" ht="12.75" customHeight="1" x14ac:dyDescent="0.25">
      <c r="A126" s="18"/>
      <c r="B126" s="53"/>
      <c r="C126" s="50" t="s">
        <v>197</v>
      </c>
      <c r="D126" s="31">
        <v>2</v>
      </c>
      <c r="E126" s="31">
        <f>70+45</f>
        <v>115</v>
      </c>
      <c r="F126" s="31">
        <v>2</v>
      </c>
      <c r="G126" s="31">
        <v>115</v>
      </c>
      <c r="H126" s="86">
        <v>0</v>
      </c>
      <c r="I126" s="24"/>
      <c r="J126" s="31"/>
      <c r="K126" s="31"/>
      <c r="L126" s="8"/>
      <c r="M126" s="8"/>
      <c r="N126" s="8"/>
      <c r="O126" s="8"/>
      <c r="P126" s="8"/>
      <c r="Q126" s="8"/>
    </row>
    <row r="127" spans="1:17" ht="12.75" customHeight="1" x14ac:dyDescent="0.25">
      <c r="A127" s="18"/>
      <c r="B127" s="53"/>
      <c r="C127" s="50" t="s">
        <v>198</v>
      </c>
      <c r="D127" s="31">
        <v>1</v>
      </c>
      <c r="E127" s="31">
        <f>160</f>
        <v>160</v>
      </c>
      <c r="F127" s="31">
        <v>1</v>
      </c>
      <c r="G127" s="31">
        <f>160</f>
        <v>160</v>
      </c>
      <c r="H127" s="86">
        <v>0</v>
      </c>
      <c r="I127" s="24"/>
      <c r="J127" s="31"/>
      <c r="K127" s="31"/>
      <c r="L127" s="8"/>
      <c r="M127" s="8"/>
      <c r="N127" s="8"/>
      <c r="O127" s="8"/>
      <c r="P127" s="8"/>
      <c r="Q127" s="8"/>
    </row>
    <row r="128" spans="1:17" ht="12.75" customHeight="1" x14ac:dyDescent="0.25">
      <c r="A128" s="18"/>
      <c r="B128" s="53"/>
      <c r="C128" s="50" t="s">
        <v>199</v>
      </c>
      <c r="D128" s="31"/>
      <c r="E128" s="31"/>
      <c r="F128" s="31"/>
      <c r="G128" s="31"/>
      <c r="H128" s="86">
        <v>0</v>
      </c>
      <c r="I128" s="24"/>
      <c r="J128" s="31"/>
      <c r="K128" s="31"/>
      <c r="L128" s="8"/>
      <c r="M128" s="8"/>
      <c r="N128" s="8"/>
      <c r="O128" s="8"/>
      <c r="P128" s="8"/>
      <c r="Q128" s="8"/>
    </row>
    <row r="129" spans="1:17" ht="12.75" customHeight="1" x14ac:dyDescent="0.25">
      <c r="A129" s="18"/>
      <c r="B129" s="53"/>
      <c r="C129" s="50" t="s">
        <v>200</v>
      </c>
      <c r="D129" s="31">
        <v>1</v>
      </c>
      <c r="E129" s="31">
        <v>165</v>
      </c>
      <c r="F129" s="31">
        <v>1</v>
      </c>
      <c r="G129" s="31">
        <v>65</v>
      </c>
      <c r="H129" s="86">
        <v>0</v>
      </c>
      <c r="I129" s="24"/>
      <c r="J129" s="31"/>
      <c r="K129" s="31"/>
      <c r="L129" s="8"/>
      <c r="M129" s="8"/>
      <c r="N129" s="8"/>
      <c r="O129" s="8"/>
      <c r="P129" s="8"/>
      <c r="Q129" s="8"/>
    </row>
    <row r="130" spans="1:17" ht="12.75" customHeight="1" x14ac:dyDescent="0.25">
      <c r="A130" s="18"/>
      <c r="B130" s="53"/>
      <c r="C130" s="50" t="s">
        <v>201</v>
      </c>
      <c r="D130" s="31">
        <v>1</v>
      </c>
      <c r="E130" s="31">
        <v>123</v>
      </c>
      <c r="F130" s="31">
        <v>1</v>
      </c>
      <c r="G130" s="31">
        <v>25</v>
      </c>
      <c r="H130" s="86">
        <v>0</v>
      </c>
      <c r="I130" s="24"/>
      <c r="J130" s="31"/>
      <c r="K130" s="31"/>
      <c r="L130" s="8"/>
      <c r="M130" s="8"/>
      <c r="N130" s="8"/>
      <c r="O130" s="8"/>
      <c r="P130" s="8"/>
      <c r="Q130" s="8"/>
    </row>
    <row r="131" spans="1:17" ht="12.75" customHeight="1" x14ac:dyDescent="0.25">
      <c r="A131" s="18"/>
      <c r="B131" s="53"/>
      <c r="C131" s="50" t="s">
        <v>202</v>
      </c>
      <c r="D131" s="31"/>
      <c r="E131" s="31"/>
      <c r="F131" s="31"/>
      <c r="G131" s="31"/>
      <c r="H131" s="86">
        <v>0</v>
      </c>
      <c r="I131" s="24"/>
      <c r="J131" s="31">
        <v>6</v>
      </c>
      <c r="K131" s="31">
        <v>165</v>
      </c>
      <c r="L131" s="8"/>
      <c r="M131" s="8"/>
      <c r="N131" s="8"/>
      <c r="O131" s="8"/>
      <c r="P131" s="8"/>
      <c r="Q131" s="8"/>
    </row>
    <row r="132" spans="1:17" ht="12.75" customHeight="1" x14ac:dyDescent="0.25">
      <c r="A132" s="18"/>
      <c r="B132" s="53"/>
      <c r="C132" s="50" t="s">
        <v>203</v>
      </c>
      <c r="D132" s="31"/>
      <c r="E132" s="31"/>
      <c r="F132" s="31"/>
      <c r="G132" s="31"/>
      <c r="H132" s="86">
        <v>0</v>
      </c>
      <c r="I132" s="24"/>
      <c r="J132" s="31">
        <v>4</v>
      </c>
      <c r="K132" s="31">
        <v>170</v>
      </c>
      <c r="L132" s="8"/>
      <c r="M132" s="8"/>
      <c r="N132" s="8"/>
      <c r="O132" s="8"/>
      <c r="P132" s="8"/>
      <c r="Q132" s="8"/>
    </row>
    <row r="133" spans="1:17" ht="12.75" customHeight="1" x14ac:dyDescent="0.25">
      <c r="A133" s="18"/>
      <c r="B133" s="53"/>
      <c r="C133" s="50" t="s">
        <v>204</v>
      </c>
      <c r="D133" s="31">
        <v>1</v>
      </c>
      <c r="E133" s="31">
        <v>32</v>
      </c>
      <c r="F133" s="31">
        <v>1</v>
      </c>
      <c r="G133" s="31">
        <v>4.4000000000000004</v>
      </c>
      <c r="H133" s="86">
        <v>0</v>
      </c>
      <c r="I133" s="24"/>
      <c r="J133" s="31"/>
      <c r="K133" s="31"/>
      <c r="L133" s="8"/>
      <c r="M133" s="8"/>
      <c r="N133" s="8"/>
      <c r="O133" s="8"/>
      <c r="P133" s="8"/>
      <c r="Q133" s="8"/>
    </row>
    <row r="134" spans="1:17" ht="12.75" customHeight="1" x14ac:dyDescent="0.25">
      <c r="A134" s="18"/>
      <c r="B134" s="53"/>
      <c r="C134" s="50" t="s">
        <v>205</v>
      </c>
      <c r="D134" s="31"/>
      <c r="E134" s="31"/>
      <c r="F134" s="31"/>
      <c r="G134" s="31"/>
      <c r="H134" s="86">
        <v>0</v>
      </c>
      <c r="I134" s="24"/>
      <c r="J134" s="31"/>
      <c r="K134" s="31"/>
      <c r="L134" s="8"/>
      <c r="M134" s="8"/>
      <c r="N134" s="8"/>
      <c r="O134" s="8"/>
      <c r="P134" s="8"/>
      <c r="Q134" s="8"/>
    </row>
    <row r="135" spans="1:17" ht="12.75" customHeight="1" x14ac:dyDescent="0.25">
      <c r="A135" s="18"/>
      <c r="B135" s="53"/>
      <c r="C135" s="50" t="s">
        <v>206</v>
      </c>
      <c r="D135" s="31">
        <v>1</v>
      </c>
      <c r="E135" s="31">
        <v>100</v>
      </c>
      <c r="F135" s="31">
        <v>1</v>
      </c>
      <c r="G135" s="31">
        <v>100</v>
      </c>
      <c r="H135" s="86">
        <v>0</v>
      </c>
      <c r="I135" s="24"/>
      <c r="J135" s="31"/>
      <c r="K135" s="31"/>
      <c r="L135" s="8"/>
      <c r="M135" s="8"/>
      <c r="N135" s="8"/>
      <c r="O135" s="8"/>
      <c r="P135" s="8"/>
      <c r="Q135" s="8"/>
    </row>
    <row r="136" spans="1:17" ht="12.75" customHeight="1" x14ac:dyDescent="0.25">
      <c r="A136" s="18"/>
      <c r="B136" s="53"/>
      <c r="C136" s="50" t="s">
        <v>207</v>
      </c>
      <c r="D136" s="31">
        <v>2</v>
      </c>
      <c r="E136" s="31">
        <v>336</v>
      </c>
      <c r="F136" s="31"/>
      <c r="G136" s="31"/>
      <c r="H136" s="86">
        <v>0</v>
      </c>
      <c r="I136" s="24"/>
      <c r="J136" s="31"/>
      <c r="K136" s="31"/>
      <c r="L136" s="8"/>
      <c r="M136" s="8"/>
      <c r="N136" s="8"/>
      <c r="O136" s="8"/>
      <c r="P136" s="8"/>
      <c r="Q136" s="8"/>
    </row>
    <row r="137" spans="1:17" ht="12.75" customHeight="1" x14ac:dyDescent="0.25">
      <c r="A137" s="18"/>
      <c r="B137" s="53"/>
      <c r="C137" s="50" t="s">
        <v>186</v>
      </c>
      <c r="D137" s="31"/>
      <c r="E137" s="31"/>
      <c r="F137" s="31"/>
      <c r="G137" s="31"/>
      <c r="H137" s="86">
        <v>0</v>
      </c>
      <c r="I137" s="24"/>
      <c r="J137" s="31"/>
      <c r="K137" s="31"/>
      <c r="L137" s="8"/>
      <c r="M137" s="8"/>
      <c r="N137" s="8"/>
      <c r="O137" s="8"/>
      <c r="P137" s="8"/>
      <c r="Q137" s="8"/>
    </row>
    <row r="138" spans="1:17" ht="12.75" customHeight="1" x14ac:dyDescent="0.25">
      <c r="A138" s="18"/>
      <c r="B138" s="53"/>
      <c r="C138" s="50" t="s">
        <v>208</v>
      </c>
      <c r="D138" s="63"/>
      <c r="E138" s="63"/>
      <c r="F138" s="63"/>
      <c r="G138" s="63"/>
      <c r="H138" s="86">
        <v>0</v>
      </c>
      <c r="I138" s="63"/>
      <c r="J138" s="63"/>
      <c r="K138" s="63"/>
      <c r="L138" s="8"/>
      <c r="M138" s="8"/>
      <c r="N138" s="8"/>
      <c r="O138" s="8"/>
      <c r="P138" s="8"/>
      <c r="Q138" s="8"/>
    </row>
    <row r="139" spans="1:17" ht="12.75" customHeight="1" x14ac:dyDescent="0.25">
      <c r="A139" s="18"/>
      <c r="B139" s="53"/>
      <c r="C139" s="50" t="s">
        <v>209</v>
      </c>
      <c r="D139" s="83">
        <v>2</v>
      </c>
      <c r="E139" s="83">
        <v>155</v>
      </c>
      <c r="F139" s="83">
        <v>1</v>
      </c>
      <c r="G139" s="83">
        <f>15+40</f>
        <v>55</v>
      </c>
      <c r="H139" s="86">
        <v>0</v>
      </c>
      <c r="I139" s="24"/>
      <c r="J139" s="31"/>
      <c r="K139" s="31"/>
      <c r="L139" s="8"/>
      <c r="M139" s="8"/>
      <c r="N139" s="8"/>
      <c r="O139" s="8"/>
      <c r="P139" s="8"/>
      <c r="Q139" s="8"/>
    </row>
    <row r="140" spans="1:17" ht="12.75" customHeight="1" x14ac:dyDescent="0.25">
      <c r="A140" s="18"/>
      <c r="B140" s="53"/>
      <c r="C140" s="50" t="s">
        <v>210</v>
      </c>
      <c r="D140" s="83"/>
      <c r="E140" s="83"/>
      <c r="F140" s="83"/>
      <c r="G140" s="31"/>
      <c r="H140" s="86">
        <v>0</v>
      </c>
      <c r="I140" s="24"/>
      <c r="J140" s="31"/>
      <c r="K140" s="31"/>
      <c r="L140" s="8"/>
      <c r="M140" s="8"/>
      <c r="N140" s="8"/>
      <c r="O140" s="8"/>
      <c r="P140" s="8"/>
      <c r="Q140" s="8"/>
    </row>
    <row r="141" spans="1:17" ht="12.75" customHeight="1" x14ac:dyDescent="0.25">
      <c r="A141" s="18"/>
      <c r="B141" s="53"/>
      <c r="C141" s="50" t="s">
        <v>211</v>
      </c>
      <c r="D141" s="83">
        <v>1</v>
      </c>
      <c r="E141" s="83">
        <v>120</v>
      </c>
      <c r="F141" s="83">
        <v>1</v>
      </c>
      <c r="G141" s="31">
        <v>10</v>
      </c>
      <c r="H141" s="86">
        <v>0</v>
      </c>
      <c r="I141" s="24"/>
      <c r="J141" s="31"/>
      <c r="K141" s="31"/>
      <c r="L141" s="8"/>
      <c r="M141" s="8"/>
      <c r="N141" s="8"/>
      <c r="O141" s="8"/>
      <c r="P141" s="8"/>
      <c r="Q141" s="8"/>
    </row>
    <row r="142" spans="1:17" ht="12.75" customHeight="1" x14ac:dyDescent="0.25">
      <c r="A142" s="18"/>
      <c r="B142" s="53"/>
      <c r="C142" s="50" t="s">
        <v>212</v>
      </c>
      <c r="D142" s="83"/>
      <c r="E142" s="83"/>
      <c r="F142" s="83"/>
      <c r="G142" s="31"/>
      <c r="H142" s="86">
        <v>0</v>
      </c>
      <c r="I142" s="24"/>
      <c r="J142" s="31"/>
      <c r="K142" s="31"/>
      <c r="L142" s="8"/>
      <c r="M142" s="8"/>
      <c r="N142" s="8"/>
      <c r="O142" s="8"/>
      <c r="P142" s="8"/>
      <c r="Q142" s="8"/>
    </row>
    <row r="143" spans="1:17" ht="12.75" customHeight="1" x14ac:dyDescent="0.25">
      <c r="A143" s="18"/>
      <c r="B143" s="53"/>
      <c r="C143" s="50" t="s">
        <v>213</v>
      </c>
      <c r="D143" s="83">
        <v>1</v>
      </c>
      <c r="E143" s="83">
        <v>80</v>
      </c>
      <c r="F143" s="83"/>
      <c r="G143" s="31"/>
      <c r="H143" s="86">
        <v>0</v>
      </c>
      <c r="I143" s="24"/>
      <c r="J143" s="31"/>
      <c r="K143" s="31"/>
      <c r="L143" s="8"/>
      <c r="M143" s="8"/>
      <c r="N143" s="8"/>
      <c r="O143" s="8"/>
      <c r="P143" s="8"/>
      <c r="Q143" s="8"/>
    </row>
    <row r="144" spans="1:17" ht="12.75" customHeight="1" x14ac:dyDescent="0.25">
      <c r="A144" s="18"/>
      <c r="B144" s="53"/>
      <c r="C144" s="50" t="s">
        <v>214</v>
      </c>
      <c r="D144" s="83"/>
      <c r="E144" s="83"/>
      <c r="F144" s="83"/>
      <c r="G144" s="31"/>
      <c r="H144" s="86">
        <v>0</v>
      </c>
      <c r="I144" s="24"/>
      <c r="J144" s="31"/>
      <c r="K144" s="31"/>
      <c r="L144" s="8"/>
      <c r="M144" s="8"/>
      <c r="N144" s="8"/>
      <c r="O144" s="8"/>
      <c r="P144" s="8"/>
      <c r="Q144" s="8"/>
    </row>
    <row r="145" spans="1:17" ht="12.75" customHeight="1" x14ac:dyDescent="0.25">
      <c r="A145" s="18"/>
      <c r="B145" s="53"/>
      <c r="C145" s="50" t="s">
        <v>215</v>
      </c>
      <c r="D145" s="83"/>
      <c r="E145" s="83"/>
      <c r="F145" s="83"/>
      <c r="G145" s="31"/>
      <c r="H145" s="86">
        <v>0</v>
      </c>
      <c r="I145" s="24"/>
      <c r="J145" s="31"/>
      <c r="K145" s="31"/>
      <c r="L145" s="8"/>
      <c r="M145" s="8"/>
      <c r="N145" s="8"/>
      <c r="O145" s="8"/>
      <c r="P145" s="8"/>
      <c r="Q145" s="8"/>
    </row>
    <row r="146" spans="1:17" ht="12.75" customHeight="1" x14ac:dyDescent="0.25">
      <c r="A146" s="18"/>
      <c r="B146" s="53"/>
      <c r="C146" s="56" t="s">
        <v>216</v>
      </c>
      <c r="D146" s="83"/>
      <c r="E146" s="83"/>
      <c r="F146" s="83"/>
      <c r="G146" s="31"/>
      <c r="H146" s="86">
        <v>0</v>
      </c>
      <c r="I146" s="24"/>
      <c r="J146" s="31"/>
      <c r="K146" s="31"/>
      <c r="L146" s="8"/>
      <c r="M146" s="8"/>
      <c r="N146" s="8"/>
      <c r="O146" s="8"/>
      <c r="P146" s="8"/>
      <c r="Q146" s="8"/>
    </row>
    <row r="147" spans="1:17" ht="12.75" customHeight="1" x14ac:dyDescent="0.25">
      <c r="A147" s="18"/>
      <c r="B147" s="53"/>
      <c r="C147" s="57" t="s">
        <v>217</v>
      </c>
      <c r="D147" s="83">
        <v>2</v>
      </c>
      <c r="E147" s="83">
        <v>120</v>
      </c>
      <c r="F147" s="83">
        <v>1</v>
      </c>
      <c r="G147" s="83">
        <f>10+10</f>
        <v>20</v>
      </c>
      <c r="H147" s="86">
        <v>0</v>
      </c>
      <c r="I147" s="24"/>
      <c r="J147" s="31"/>
      <c r="K147" s="31"/>
      <c r="L147" s="8"/>
      <c r="M147" s="8"/>
      <c r="N147" s="8"/>
      <c r="O147" s="8"/>
      <c r="P147" s="8"/>
      <c r="Q147" s="8"/>
    </row>
    <row r="148" spans="1:17" ht="12.75" customHeight="1" x14ac:dyDescent="0.25">
      <c r="A148" s="18"/>
      <c r="B148" s="53"/>
      <c r="C148" s="50" t="s">
        <v>218</v>
      </c>
      <c r="D148" s="83">
        <v>1</v>
      </c>
      <c r="E148" s="83">
        <v>10</v>
      </c>
      <c r="F148" s="83"/>
      <c r="G148" s="31"/>
      <c r="H148" s="86">
        <v>0</v>
      </c>
      <c r="I148" s="24"/>
      <c r="J148" s="31"/>
      <c r="K148" s="31"/>
      <c r="L148" s="8"/>
      <c r="M148" s="8"/>
      <c r="N148" s="8"/>
      <c r="O148" s="8"/>
      <c r="P148" s="8"/>
      <c r="Q148" s="8"/>
    </row>
    <row r="149" spans="1:17" ht="12.75" customHeight="1" x14ac:dyDescent="0.25">
      <c r="A149" s="18"/>
      <c r="B149" s="53"/>
      <c r="C149" s="50" t="s">
        <v>219</v>
      </c>
      <c r="D149" s="83"/>
      <c r="E149" s="83"/>
      <c r="F149" s="83"/>
      <c r="G149" s="31"/>
      <c r="H149" s="86">
        <v>0</v>
      </c>
      <c r="I149" s="24"/>
      <c r="J149" s="31"/>
      <c r="K149" s="31"/>
      <c r="L149" s="8"/>
      <c r="M149" s="8"/>
      <c r="N149" s="8"/>
      <c r="O149" s="8"/>
      <c r="P149" s="8"/>
      <c r="Q149" s="8"/>
    </row>
    <row r="150" spans="1:17" ht="12.75" customHeight="1" x14ac:dyDescent="0.25">
      <c r="A150" s="18"/>
      <c r="B150" s="53"/>
      <c r="C150" s="50" t="s">
        <v>220</v>
      </c>
      <c r="D150" s="84"/>
      <c r="E150" s="84"/>
      <c r="F150" s="84"/>
      <c r="G150" s="63"/>
      <c r="H150" s="86">
        <v>0</v>
      </c>
      <c r="I150" s="63"/>
      <c r="J150" s="63"/>
      <c r="K150" s="63"/>
      <c r="L150" s="8"/>
      <c r="M150" s="8"/>
      <c r="N150" s="8"/>
      <c r="O150" s="8"/>
      <c r="P150" s="8"/>
      <c r="Q150" s="8"/>
    </row>
    <row r="151" spans="1:17" ht="12.75" customHeight="1" x14ac:dyDescent="0.25">
      <c r="A151" s="18"/>
      <c r="B151" s="53"/>
      <c r="C151" s="50" t="s">
        <v>221</v>
      </c>
      <c r="D151" s="83"/>
      <c r="E151" s="83"/>
      <c r="F151" s="83"/>
      <c r="G151" s="31"/>
      <c r="H151" s="86">
        <v>0</v>
      </c>
      <c r="I151" s="24"/>
      <c r="J151" s="31"/>
      <c r="K151" s="31"/>
      <c r="L151" s="8"/>
      <c r="M151" s="8"/>
      <c r="N151" s="8"/>
      <c r="O151" s="8"/>
      <c r="P151" s="8"/>
      <c r="Q151" s="8"/>
    </row>
    <row r="152" spans="1:17" ht="12.75" customHeight="1" x14ac:dyDescent="0.25">
      <c r="A152" s="18"/>
      <c r="B152" s="53"/>
      <c r="C152" s="50" t="s">
        <v>222</v>
      </c>
      <c r="D152" s="31"/>
      <c r="E152" s="31"/>
      <c r="F152" s="31"/>
      <c r="G152" s="31"/>
      <c r="H152" s="86">
        <v>0</v>
      </c>
      <c r="I152" s="24"/>
      <c r="J152" s="31"/>
      <c r="K152" s="31"/>
      <c r="L152" s="8"/>
      <c r="M152" s="8"/>
      <c r="N152" s="8"/>
      <c r="O152" s="8"/>
      <c r="P152" s="8"/>
      <c r="Q152" s="8"/>
    </row>
    <row r="153" spans="1:17" ht="18.75" customHeight="1" x14ac:dyDescent="0.2">
      <c r="A153" s="18"/>
      <c r="B153" s="53"/>
      <c r="C153" s="19" t="s">
        <v>30</v>
      </c>
      <c r="D153" s="31">
        <f>SUM(D104:D152)</f>
        <v>139</v>
      </c>
      <c r="E153" s="31">
        <f t="shared" ref="E153:Q153" si="2">SUM(E104:E152)</f>
        <v>15400.9</v>
      </c>
      <c r="F153" s="31">
        <f t="shared" si="2"/>
        <v>86</v>
      </c>
      <c r="G153" s="31">
        <f t="shared" si="2"/>
        <v>5594.6999999999989</v>
      </c>
      <c r="H153" s="31">
        <f t="shared" si="2"/>
        <v>0</v>
      </c>
      <c r="I153" s="31">
        <f t="shared" si="2"/>
        <v>0</v>
      </c>
      <c r="J153" s="31">
        <f t="shared" si="2"/>
        <v>59</v>
      </c>
      <c r="K153" s="31">
        <f t="shared" si="2"/>
        <v>2490</v>
      </c>
      <c r="L153" s="31">
        <f t="shared" si="2"/>
        <v>0</v>
      </c>
      <c r="M153" s="31">
        <f t="shared" si="2"/>
        <v>0</v>
      </c>
      <c r="N153" s="31">
        <f t="shared" si="2"/>
        <v>0</v>
      </c>
      <c r="O153" s="31">
        <f t="shared" si="2"/>
        <v>0</v>
      </c>
      <c r="P153" s="31">
        <f t="shared" si="2"/>
        <v>0</v>
      </c>
      <c r="Q153" s="31">
        <f t="shared" si="2"/>
        <v>0</v>
      </c>
    </row>
    <row r="154" spans="1:17" ht="15" x14ac:dyDescent="0.25">
      <c r="A154" s="18"/>
      <c r="B154" s="18"/>
      <c r="C154" s="66" t="s">
        <v>250</v>
      </c>
      <c r="D154" s="31"/>
      <c r="E154" s="31"/>
      <c r="F154" s="31"/>
      <c r="G154" s="31"/>
      <c r="H154" s="86">
        <v>0</v>
      </c>
      <c r="I154" s="24"/>
      <c r="J154" s="31"/>
      <c r="K154" s="31"/>
      <c r="L154" s="8"/>
      <c r="M154" s="8"/>
      <c r="N154" s="8"/>
      <c r="O154" s="8"/>
      <c r="P154" s="8"/>
      <c r="Q154" s="8"/>
    </row>
    <row r="155" spans="1:17" ht="12.75" customHeight="1" x14ac:dyDescent="0.25">
      <c r="A155" s="18"/>
      <c r="B155" s="18"/>
      <c r="C155" s="18" t="s">
        <v>224</v>
      </c>
      <c r="D155" s="31">
        <v>11</v>
      </c>
      <c r="E155" s="31">
        <v>2241</v>
      </c>
      <c r="F155" s="31">
        <v>4</v>
      </c>
      <c r="G155" s="31">
        <v>769</v>
      </c>
      <c r="H155" s="86">
        <v>0</v>
      </c>
      <c r="I155" s="24"/>
      <c r="J155" s="31">
        <v>12</v>
      </c>
      <c r="K155" s="31">
        <v>356</v>
      </c>
      <c r="L155" s="8"/>
      <c r="M155" s="8"/>
      <c r="N155" s="8"/>
      <c r="O155" s="8"/>
      <c r="P155" s="8"/>
      <c r="Q155" s="8"/>
    </row>
    <row r="156" spans="1:17" ht="12.75" customHeight="1" x14ac:dyDescent="0.25">
      <c r="A156" s="18"/>
      <c r="B156" s="18"/>
      <c r="C156" s="18" t="s">
        <v>225</v>
      </c>
      <c r="D156" s="31">
        <v>4</v>
      </c>
      <c r="E156" s="31">
        <v>1830</v>
      </c>
      <c r="F156" s="31">
        <v>1</v>
      </c>
      <c r="G156" s="31">
        <v>20</v>
      </c>
      <c r="H156" s="86">
        <v>0</v>
      </c>
      <c r="I156" s="24"/>
      <c r="J156" s="31">
        <v>6</v>
      </c>
      <c r="K156" s="31">
        <v>215</v>
      </c>
      <c r="L156" s="8"/>
      <c r="M156" s="8"/>
      <c r="N156" s="8"/>
      <c r="O156" s="8"/>
      <c r="P156" s="8"/>
      <c r="Q156" s="8"/>
    </row>
    <row r="157" spans="1:17" ht="12.75" customHeight="1" x14ac:dyDescent="0.25">
      <c r="A157" s="18"/>
      <c r="B157" s="18"/>
      <c r="C157" s="18" t="s">
        <v>346</v>
      </c>
      <c r="D157" s="31"/>
      <c r="E157" s="31"/>
      <c r="F157" s="31"/>
      <c r="G157" s="31"/>
      <c r="H157" s="86">
        <v>0</v>
      </c>
      <c r="I157" s="24"/>
      <c r="J157" s="31"/>
      <c r="K157" s="31"/>
      <c r="L157" s="8"/>
      <c r="M157" s="8"/>
      <c r="N157" s="8"/>
      <c r="O157" s="8"/>
      <c r="P157" s="8"/>
      <c r="Q157" s="8"/>
    </row>
    <row r="158" spans="1:17" ht="12.75" customHeight="1" x14ac:dyDescent="0.25">
      <c r="A158" s="18"/>
      <c r="B158" s="18"/>
      <c r="C158" s="18" t="s">
        <v>226</v>
      </c>
      <c r="D158" s="31"/>
      <c r="E158" s="31"/>
      <c r="F158" s="31"/>
      <c r="G158" s="31"/>
      <c r="H158" s="86">
        <v>0</v>
      </c>
      <c r="I158" s="24"/>
      <c r="J158" s="31"/>
      <c r="K158" s="31"/>
      <c r="L158" s="8"/>
      <c r="M158" s="8"/>
      <c r="N158" s="8"/>
      <c r="O158" s="8"/>
      <c r="P158" s="8"/>
      <c r="Q158" s="8"/>
    </row>
    <row r="159" spans="1:17" ht="12.75" customHeight="1" x14ac:dyDescent="0.25">
      <c r="A159" s="18"/>
      <c r="B159" s="18"/>
      <c r="C159" s="18" t="s">
        <v>227</v>
      </c>
      <c r="D159" s="31"/>
      <c r="E159" s="31"/>
      <c r="F159" s="31"/>
      <c r="G159" s="31"/>
      <c r="H159" s="86">
        <v>0</v>
      </c>
      <c r="I159" s="24"/>
      <c r="J159" s="31"/>
      <c r="K159" s="31"/>
      <c r="L159" s="8"/>
      <c r="M159" s="8"/>
      <c r="N159" s="8"/>
      <c r="O159" s="8"/>
      <c r="P159" s="8"/>
      <c r="Q159" s="8"/>
    </row>
    <row r="160" spans="1:17" ht="12.75" customHeight="1" x14ac:dyDescent="0.25">
      <c r="A160" s="18"/>
      <c r="B160" s="18"/>
      <c r="C160" s="18" t="s">
        <v>228</v>
      </c>
      <c r="D160" s="31">
        <v>1</v>
      </c>
      <c r="E160" s="31">
        <v>90</v>
      </c>
      <c r="F160" s="31">
        <v>1</v>
      </c>
      <c r="G160" s="31">
        <v>20</v>
      </c>
      <c r="H160" s="86">
        <v>0</v>
      </c>
      <c r="I160" s="24"/>
      <c r="J160" s="31"/>
      <c r="K160" s="31"/>
      <c r="L160" s="8"/>
      <c r="M160" s="8"/>
      <c r="N160" s="8"/>
      <c r="O160" s="8"/>
      <c r="P160" s="8"/>
      <c r="Q160" s="8"/>
    </row>
    <row r="161" spans="1:17" ht="12.75" customHeight="1" x14ac:dyDescent="0.25">
      <c r="A161" s="18"/>
      <c r="B161" s="18"/>
      <c r="C161" s="18" t="s">
        <v>229</v>
      </c>
      <c r="D161" s="63">
        <v>1</v>
      </c>
      <c r="E161" s="63">
        <v>175</v>
      </c>
      <c r="F161" s="63">
        <v>1</v>
      </c>
      <c r="G161" s="63">
        <v>10</v>
      </c>
      <c r="H161" s="86">
        <v>0</v>
      </c>
      <c r="I161" s="63"/>
      <c r="J161" s="63"/>
      <c r="K161" s="63"/>
      <c r="L161" s="8"/>
      <c r="M161" s="8"/>
      <c r="N161" s="8"/>
      <c r="O161" s="8"/>
      <c r="P161" s="8"/>
      <c r="Q161" s="8"/>
    </row>
    <row r="162" spans="1:17" ht="12.75" customHeight="1" x14ac:dyDescent="0.25">
      <c r="A162" s="18"/>
      <c r="B162" s="18"/>
      <c r="C162" s="18" t="s">
        <v>230</v>
      </c>
      <c r="D162" s="31">
        <v>1</v>
      </c>
      <c r="E162" s="31">
        <v>63</v>
      </c>
      <c r="F162" s="31">
        <v>1</v>
      </c>
      <c r="G162" s="31">
        <v>10</v>
      </c>
      <c r="H162" s="86">
        <v>0</v>
      </c>
      <c r="I162" s="24"/>
      <c r="J162" s="31">
        <v>1</v>
      </c>
      <c r="K162" s="31">
        <v>63</v>
      </c>
      <c r="L162" s="8"/>
      <c r="M162" s="8"/>
      <c r="N162" s="8"/>
      <c r="O162" s="8"/>
      <c r="P162" s="8"/>
      <c r="Q162" s="8"/>
    </row>
    <row r="163" spans="1:17" ht="12.75" customHeight="1" x14ac:dyDescent="0.25">
      <c r="A163" s="18"/>
      <c r="B163" s="18"/>
      <c r="C163" s="18" t="s">
        <v>231</v>
      </c>
      <c r="D163" s="31">
        <v>1</v>
      </c>
      <c r="E163" s="31">
        <v>400</v>
      </c>
      <c r="F163" s="31"/>
      <c r="G163" s="31"/>
      <c r="H163" s="86">
        <v>0</v>
      </c>
      <c r="I163" s="24"/>
      <c r="J163" s="31"/>
      <c r="K163" s="31"/>
      <c r="L163" s="8"/>
      <c r="M163" s="8"/>
      <c r="N163" s="8"/>
      <c r="O163" s="8"/>
      <c r="P163" s="8"/>
      <c r="Q163" s="8"/>
    </row>
    <row r="164" spans="1:17" ht="12.75" customHeight="1" x14ac:dyDescent="0.25">
      <c r="A164" s="18"/>
      <c r="B164" s="18"/>
      <c r="C164" s="18" t="s">
        <v>232</v>
      </c>
      <c r="D164" s="83">
        <v>1</v>
      </c>
      <c r="E164" s="83">
        <v>75</v>
      </c>
      <c r="F164" s="83">
        <v>1</v>
      </c>
      <c r="G164" s="83">
        <v>10</v>
      </c>
      <c r="H164" s="86">
        <v>0</v>
      </c>
      <c r="I164" s="24"/>
      <c r="J164" s="31"/>
      <c r="K164" s="31"/>
      <c r="L164" s="8"/>
      <c r="M164" s="8"/>
      <c r="N164" s="8"/>
      <c r="O164" s="8"/>
      <c r="P164" s="8"/>
      <c r="Q164" s="8"/>
    </row>
    <row r="165" spans="1:17" ht="12.75" customHeight="1" x14ac:dyDescent="0.25">
      <c r="A165" s="18"/>
      <c r="B165" s="18"/>
      <c r="C165" s="18" t="s">
        <v>233</v>
      </c>
      <c r="D165" s="83"/>
      <c r="E165" s="83"/>
      <c r="F165" s="83"/>
      <c r="G165" s="83"/>
      <c r="H165" s="86">
        <v>0</v>
      </c>
      <c r="I165" s="24"/>
      <c r="J165" s="31"/>
      <c r="K165" s="31"/>
      <c r="L165" s="8"/>
      <c r="M165" s="8"/>
      <c r="N165" s="8"/>
      <c r="O165" s="8"/>
      <c r="P165" s="8"/>
      <c r="Q165" s="8"/>
    </row>
    <row r="166" spans="1:17" ht="12.75" customHeight="1" x14ac:dyDescent="0.25">
      <c r="A166" s="18"/>
      <c r="B166" s="18"/>
      <c r="C166" s="18" t="s">
        <v>234</v>
      </c>
      <c r="D166" s="83"/>
      <c r="E166" s="83"/>
      <c r="F166" s="83"/>
      <c r="G166" s="83"/>
      <c r="H166" s="86">
        <v>0</v>
      </c>
      <c r="I166" s="24"/>
      <c r="J166" s="31"/>
      <c r="K166" s="31"/>
      <c r="L166" s="8"/>
      <c r="M166" s="8"/>
      <c r="N166" s="8"/>
      <c r="O166" s="8"/>
      <c r="P166" s="8"/>
      <c r="Q166" s="8"/>
    </row>
    <row r="167" spans="1:17" ht="12.75" customHeight="1" x14ac:dyDescent="0.25">
      <c r="A167" s="18"/>
      <c r="B167" s="18"/>
      <c r="C167" s="18" t="s">
        <v>235</v>
      </c>
      <c r="D167" s="83">
        <v>1</v>
      </c>
      <c r="E167" s="83">
        <f>120</f>
        <v>120</v>
      </c>
      <c r="F167" s="83">
        <v>2</v>
      </c>
      <c r="G167" s="83">
        <v>45</v>
      </c>
      <c r="H167" s="86">
        <v>0</v>
      </c>
      <c r="I167" s="24"/>
      <c r="J167" s="31"/>
      <c r="K167" s="31"/>
      <c r="L167" s="8"/>
      <c r="M167" s="8"/>
      <c r="N167" s="8"/>
      <c r="O167" s="8"/>
      <c r="P167" s="8"/>
      <c r="Q167" s="8"/>
    </row>
    <row r="168" spans="1:17" ht="12.75" customHeight="1" x14ac:dyDescent="0.25">
      <c r="A168" s="18"/>
      <c r="B168" s="18"/>
      <c r="C168" s="18" t="s">
        <v>347</v>
      </c>
      <c r="D168" s="83">
        <v>1</v>
      </c>
      <c r="E168" s="83">
        <v>40</v>
      </c>
      <c r="F168" s="83">
        <v>1</v>
      </c>
      <c r="G168" s="83">
        <v>40</v>
      </c>
      <c r="H168" s="86">
        <v>0</v>
      </c>
      <c r="I168" s="24"/>
      <c r="J168" s="31"/>
      <c r="K168" s="31"/>
      <c r="L168" s="8"/>
      <c r="M168" s="8"/>
      <c r="N168" s="8"/>
      <c r="O168" s="8"/>
      <c r="P168" s="8"/>
      <c r="Q168" s="8"/>
    </row>
    <row r="169" spans="1:17" ht="12.75" customHeight="1" x14ac:dyDescent="0.25">
      <c r="A169" s="18"/>
      <c r="B169" s="18"/>
      <c r="C169" s="18" t="s">
        <v>236</v>
      </c>
      <c r="D169" s="83">
        <v>3</v>
      </c>
      <c r="E169" s="83">
        <v>190</v>
      </c>
      <c r="F169" s="83"/>
      <c r="G169" s="83"/>
      <c r="H169" s="86">
        <v>0</v>
      </c>
      <c r="I169" s="24"/>
      <c r="J169" s="31"/>
      <c r="K169" s="31"/>
      <c r="L169" s="8"/>
      <c r="M169" s="8"/>
      <c r="N169" s="8"/>
      <c r="O169" s="8"/>
      <c r="P169" s="8"/>
      <c r="Q169" s="8"/>
    </row>
    <row r="170" spans="1:17" ht="12.75" customHeight="1" x14ac:dyDescent="0.25">
      <c r="A170" s="18"/>
      <c r="B170" s="18"/>
      <c r="C170" s="18" t="s">
        <v>237</v>
      </c>
      <c r="D170" s="83">
        <v>2</v>
      </c>
      <c r="E170" s="83">
        <v>180</v>
      </c>
      <c r="F170" s="83"/>
      <c r="G170" s="83"/>
      <c r="H170" s="86">
        <v>0</v>
      </c>
      <c r="I170" s="24"/>
      <c r="J170" s="31"/>
      <c r="K170" s="31"/>
      <c r="L170" s="8"/>
      <c r="M170" s="8"/>
      <c r="N170" s="8"/>
      <c r="O170" s="8"/>
      <c r="P170" s="8"/>
      <c r="Q170" s="8"/>
    </row>
    <row r="171" spans="1:17" ht="12.75" customHeight="1" x14ac:dyDescent="0.25">
      <c r="A171" s="18"/>
      <c r="B171" s="18"/>
      <c r="C171" s="18" t="s">
        <v>238</v>
      </c>
      <c r="D171" s="83">
        <v>2</v>
      </c>
      <c r="E171" s="83">
        <v>240</v>
      </c>
      <c r="F171" s="83">
        <v>2</v>
      </c>
      <c r="G171" s="83">
        <v>20</v>
      </c>
      <c r="H171" s="86">
        <v>0</v>
      </c>
      <c r="I171" s="24"/>
      <c r="J171" s="31"/>
      <c r="K171" s="31"/>
      <c r="L171" s="8"/>
      <c r="M171" s="8"/>
      <c r="N171" s="8"/>
      <c r="O171" s="8"/>
      <c r="P171" s="8"/>
      <c r="Q171" s="8"/>
    </row>
    <row r="172" spans="1:17" ht="12.75" customHeight="1" x14ac:dyDescent="0.25">
      <c r="A172" s="18"/>
      <c r="B172" s="18"/>
      <c r="C172" s="18" t="s">
        <v>239</v>
      </c>
      <c r="D172" s="83"/>
      <c r="E172" s="83"/>
      <c r="F172" s="83"/>
      <c r="G172" s="83"/>
      <c r="H172" s="86">
        <v>0</v>
      </c>
      <c r="I172" s="24"/>
      <c r="J172" s="31"/>
      <c r="K172" s="31"/>
      <c r="L172" s="8"/>
      <c r="M172" s="8"/>
      <c r="N172" s="8"/>
      <c r="O172" s="8"/>
      <c r="P172" s="8"/>
      <c r="Q172" s="8"/>
    </row>
    <row r="173" spans="1:17" ht="12.75" customHeight="1" x14ac:dyDescent="0.25">
      <c r="A173" s="18"/>
      <c r="B173" s="18"/>
      <c r="C173" s="18" t="s">
        <v>240</v>
      </c>
      <c r="D173" s="84">
        <v>2</v>
      </c>
      <c r="E173" s="84">
        <v>135</v>
      </c>
      <c r="F173" s="84">
        <v>2</v>
      </c>
      <c r="G173" s="84">
        <v>35</v>
      </c>
      <c r="H173" s="86">
        <v>0</v>
      </c>
      <c r="I173" s="63"/>
      <c r="J173" s="63"/>
      <c r="K173" s="63"/>
      <c r="L173" s="8"/>
      <c r="M173" s="8"/>
      <c r="N173" s="8"/>
      <c r="O173" s="8"/>
      <c r="P173" s="8"/>
      <c r="Q173" s="8"/>
    </row>
    <row r="174" spans="1:17" ht="12.75" customHeight="1" x14ac:dyDescent="0.25">
      <c r="A174" s="18"/>
      <c r="B174" s="18"/>
      <c r="C174" s="18" t="s">
        <v>241</v>
      </c>
      <c r="D174" s="83"/>
      <c r="E174" s="83"/>
      <c r="F174" s="83"/>
      <c r="G174" s="83"/>
      <c r="H174" s="86">
        <v>0</v>
      </c>
      <c r="I174" s="63"/>
      <c r="J174" s="31"/>
      <c r="K174" s="31"/>
      <c r="L174" s="8"/>
      <c r="M174" s="8"/>
      <c r="N174" s="8"/>
      <c r="O174" s="8"/>
      <c r="P174" s="8"/>
      <c r="Q174" s="8"/>
    </row>
    <row r="175" spans="1:17" ht="12.75" customHeight="1" x14ac:dyDescent="0.25">
      <c r="A175" s="18"/>
      <c r="B175" s="18"/>
      <c r="C175" s="18" t="s">
        <v>242</v>
      </c>
      <c r="D175" s="83"/>
      <c r="E175" s="83"/>
      <c r="F175" s="83"/>
      <c r="G175" s="83"/>
      <c r="H175" s="86">
        <v>0</v>
      </c>
      <c r="I175" s="63"/>
      <c r="J175" s="31"/>
      <c r="K175" s="31"/>
      <c r="L175" s="8"/>
      <c r="M175" s="8"/>
      <c r="N175" s="8"/>
      <c r="O175" s="8"/>
      <c r="P175" s="8"/>
      <c r="Q175" s="8"/>
    </row>
    <row r="176" spans="1:17" ht="12.75" customHeight="1" x14ac:dyDescent="0.25">
      <c r="A176" s="18"/>
      <c r="B176" s="18"/>
      <c r="C176" s="18" t="s">
        <v>348</v>
      </c>
      <c r="D176" s="83"/>
      <c r="E176" s="83"/>
      <c r="F176" s="83"/>
      <c r="G176" s="83"/>
      <c r="H176" s="86">
        <v>0</v>
      </c>
      <c r="I176" s="63"/>
      <c r="J176" s="31"/>
      <c r="K176" s="31"/>
      <c r="L176" s="8"/>
      <c r="M176" s="8"/>
      <c r="N176" s="8"/>
      <c r="O176" s="8"/>
      <c r="P176" s="8"/>
      <c r="Q176" s="8"/>
    </row>
    <row r="177" spans="1:17" ht="12.75" customHeight="1" x14ac:dyDescent="0.25">
      <c r="A177" s="18"/>
      <c r="B177" s="18"/>
      <c r="C177" s="18" t="s">
        <v>243</v>
      </c>
      <c r="D177" s="83"/>
      <c r="E177" s="83"/>
      <c r="F177" s="83"/>
      <c r="G177" s="83"/>
      <c r="H177" s="86">
        <v>0</v>
      </c>
      <c r="I177" s="63"/>
      <c r="J177" s="31"/>
      <c r="K177" s="31"/>
      <c r="L177" s="8"/>
      <c r="M177" s="8"/>
      <c r="N177" s="8"/>
      <c r="O177" s="8"/>
      <c r="P177" s="8"/>
      <c r="Q177" s="8"/>
    </row>
    <row r="178" spans="1:17" ht="12.75" customHeight="1" x14ac:dyDescent="0.25">
      <c r="A178" s="18"/>
      <c r="B178" s="18"/>
      <c r="C178" s="18" t="s">
        <v>349</v>
      </c>
      <c r="D178" s="83">
        <v>6</v>
      </c>
      <c r="E178" s="83">
        <f>30+15+100+100+15+10</f>
        <v>270</v>
      </c>
      <c r="F178" s="83">
        <v>1</v>
      </c>
      <c r="G178" s="83">
        <v>70</v>
      </c>
      <c r="H178" s="86">
        <v>0</v>
      </c>
      <c r="I178" s="63"/>
      <c r="J178" s="31"/>
      <c r="K178" s="31"/>
      <c r="L178" s="8"/>
      <c r="M178" s="8"/>
      <c r="N178" s="8"/>
      <c r="O178" s="8"/>
      <c r="P178" s="8"/>
      <c r="Q178" s="8"/>
    </row>
    <row r="179" spans="1:17" ht="12.75" customHeight="1" x14ac:dyDescent="0.25">
      <c r="A179" s="18"/>
      <c r="B179" s="18"/>
      <c r="C179" s="18" t="s">
        <v>244</v>
      </c>
      <c r="D179" s="83">
        <v>1</v>
      </c>
      <c r="E179" s="83">
        <v>10</v>
      </c>
      <c r="F179" s="83">
        <v>1</v>
      </c>
      <c r="G179" s="83">
        <v>10</v>
      </c>
      <c r="H179" s="86">
        <v>0</v>
      </c>
      <c r="I179" s="63"/>
      <c r="J179" s="31"/>
      <c r="K179" s="31"/>
      <c r="L179" s="8"/>
      <c r="M179" s="8"/>
      <c r="N179" s="8"/>
      <c r="O179" s="8"/>
      <c r="P179" s="8"/>
      <c r="Q179" s="8"/>
    </row>
    <row r="180" spans="1:17" ht="12.75" customHeight="1" x14ac:dyDescent="0.25">
      <c r="A180" s="18"/>
      <c r="B180" s="18"/>
      <c r="C180" s="18" t="s">
        <v>245</v>
      </c>
      <c r="D180" s="31">
        <v>1</v>
      </c>
      <c r="E180" s="31">
        <v>90</v>
      </c>
      <c r="F180" s="31">
        <v>1</v>
      </c>
      <c r="G180" s="31">
        <v>10</v>
      </c>
      <c r="H180" s="86">
        <v>0</v>
      </c>
      <c r="I180" s="63"/>
      <c r="J180" s="31"/>
      <c r="K180" s="31"/>
      <c r="L180" s="8"/>
      <c r="M180" s="8"/>
      <c r="N180" s="8"/>
      <c r="O180" s="8"/>
      <c r="P180" s="8"/>
      <c r="Q180" s="8"/>
    </row>
    <row r="181" spans="1:17" ht="12.75" customHeight="1" x14ac:dyDescent="0.25">
      <c r="A181" s="18"/>
      <c r="B181" s="18"/>
      <c r="C181" s="18" t="s">
        <v>246</v>
      </c>
      <c r="D181" s="31">
        <v>1</v>
      </c>
      <c r="E181" s="31">
        <v>80</v>
      </c>
      <c r="F181" s="31">
        <v>1</v>
      </c>
      <c r="G181" s="31">
        <v>10</v>
      </c>
      <c r="H181" s="86">
        <v>0</v>
      </c>
      <c r="I181" s="63"/>
      <c r="J181" s="31"/>
      <c r="K181" s="31"/>
      <c r="L181" s="8"/>
      <c r="M181" s="8"/>
      <c r="N181" s="8"/>
      <c r="O181" s="8"/>
      <c r="P181" s="8"/>
      <c r="Q181" s="8"/>
    </row>
    <row r="182" spans="1:17" ht="12.75" customHeight="1" x14ac:dyDescent="0.25">
      <c r="A182" s="18"/>
      <c r="B182" s="18"/>
      <c r="C182" s="18" t="s">
        <v>247</v>
      </c>
      <c r="D182" s="31">
        <v>1</v>
      </c>
      <c r="E182" s="31">
        <v>70</v>
      </c>
      <c r="F182" s="31">
        <v>1</v>
      </c>
      <c r="G182" s="31">
        <v>10</v>
      </c>
      <c r="H182" s="86">
        <v>0</v>
      </c>
      <c r="I182" s="63"/>
      <c r="J182" s="31"/>
      <c r="K182" s="31"/>
      <c r="L182" s="8"/>
      <c r="M182" s="8"/>
      <c r="N182" s="8"/>
      <c r="O182" s="8"/>
      <c r="P182" s="8"/>
      <c r="Q182" s="8"/>
    </row>
    <row r="183" spans="1:17" ht="12.75" customHeight="1" x14ac:dyDescent="0.25">
      <c r="A183" s="18"/>
      <c r="B183" s="18"/>
      <c r="C183" s="18" t="s">
        <v>249</v>
      </c>
      <c r="D183" s="31">
        <v>2</v>
      </c>
      <c r="E183" s="31">
        <v>120</v>
      </c>
      <c r="F183" s="31">
        <v>2</v>
      </c>
      <c r="G183" s="31">
        <v>20</v>
      </c>
      <c r="H183" s="86">
        <v>0</v>
      </c>
      <c r="I183" s="63"/>
      <c r="J183" s="31"/>
      <c r="K183" s="31"/>
      <c r="L183" s="8"/>
      <c r="M183" s="8"/>
      <c r="N183" s="8"/>
      <c r="O183" s="8"/>
      <c r="P183" s="8"/>
      <c r="Q183" s="8"/>
    </row>
    <row r="184" spans="1:17" ht="12.75" customHeight="1" x14ac:dyDescent="0.25">
      <c r="A184" s="18"/>
      <c r="B184" s="18"/>
      <c r="C184" s="54" t="s">
        <v>248</v>
      </c>
      <c r="D184" s="31">
        <v>3</v>
      </c>
      <c r="E184" s="31">
        <f>15+15+40</f>
        <v>70</v>
      </c>
      <c r="F184" s="31">
        <v>3</v>
      </c>
      <c r="G184" s="31">
        <v>70</v>
      </c>
      <c r="H184" s="86">
        <v>0</v>
      </c>
      <c r="I184" s="63"/>
      <c r="J184" s="31"/>
      <c r="K184" s="31"/>
      <c r="L184" s="8"/>
      <c r="M184" s="8"/>
      <c r="N184" s="8"/>
      <c r="O184" s="8"/>
      <c r="P184" s="8"/>
      <c r="Q184" s="8"/>
    </row>
    <row r="185" spans="1:17" ht="12.75" customHeight="1" x14ac:dyDescent="0.2">
      <c r="A185" s="18"/>
      <c r="B185" s="18"/>
      <c r="C185" s="19" t="s">
        <v>30</v>
      </c>
      <c r="D185" s="31">
        <f>SUM(D155:D184)</f>
        <v>46</v>
      </c>
      <c r="E185" s="31">
        <f t="shared" ref="E185:Q185" si="3">SUM(E155:E184)</f>
        <v>6489</v>
      </c>
      <c r="F185" s="31">
        <f t="shared" si="3"/>
        <v>26</v>
      </c>
      <c r="G185" s="31">
        <f t="shared" si="3"/>
        <v>1179</v>
      </c>
      <c r="H185" s="31">
        <f t="shared" si="3"/>
        <v>0</v>
      </c>
      <c r="I185" s="31">
        <f t="shared" si="3"/>
        <v>0</v>
      </c>
      <c r="J185" s="31">
        <f t="shared" si="3"/>
        <v>19</v>
      </c>
      <c r="K185" s="31">
        <f t="shared" si="3"/>
        <v>634</v>
      </c>
      <c r="L185" s="31">
        <f t="shared" si="3"/>
        <v>0</v>
      </c>
      <c r="M185" s="31">
        <f t="shared" si="3"/>
        <v>0</v>
      </c>
      <c r="N185" s="31">
        <f t="shared" si="3"/>
        <v>0</v>
      </c>
      <c r="O185" s="31">
        <f t="shared" si="3"/>
        <v>0</v>
      </c>
      <c r="P185" s="31">
        <f t="shared" si="3"/>
        <v>0</v>
      </c>
      <c r="Q185" s="31">
        <f t="shared" si="3"/>
        <v>0</v>
      </c>
    </row>
    <row r="186" spans="1:17" ht="15" x14ac:dyDescent="0.25">
      <c r="A186" s="18"/>
      <c r="B186" s="18"/>
      <c r="C186" s="58" t="s">
        <v>259</v>
      </c>
      <c r="D186" s="31"/>
      <c r="E186" s="31"/>
      <c r="F186" s="31"/>
      <c r="G186" s="31"/>
      <c r="H186" s="86">
        <v>0</v>
      </c>
      <c r="I186" s="63"/>
      <c r="J186" s="31"/>
      <c r="K186" s="31"/>
      <c r="L186" s="8"/>
      <c r="M186" s="8"/>
      <c r="N186" s="8"/>
      <c r="O186" s="8"/>
      <c r="P186" s="8"/>
      <c r="Q186" s="8"/>
    </row>
    <row r="187" spans="1:17" ht="12.75" customHeight="1" x14ac:dyDescent="0.25">
      <c r="A187" s="18"/>
      <c r="B187" s="53"/>
      <c r="C187" s="57" t="s">
        <v>251</v>
      </c>
      <c r="D187" s="31">
        <v>1</v>
      </c>
      <c r="E187" s="31">
        <v>15</v>
      </c>
      <c r="F187" s="31">
        <v>1</v>
      </c>
      <c r="G187" s="31">
        <v>15</v>
      </c>
      <c r="H187" s="86">
        <v>0</v>
      </c>
      <c r="I187" s="63"/>
      <c r="J187" s="31">
        <v>1</v>
      </c>
      <c r="K187" s="31">
        <v>40</v>
      </c>
      <c r="L187" s="8"/>
      <c r="M187" s="8"/>
      <c r="N187" s="8"/>
      <c r="O187" s="8"/>
      <c r="P187" s="8"/>
      <c r="Q187" s="8"/>
    </row>
    <row r="188" spans="1:17" ht="12.75" customHeight="1" x14ac:dyDescent="0.25">
      <c r="A188" s="18"/>
      <c r="B188" s="53"/>
      <c r="C188" s="50" t="s">
        <v>252</v>
      </c>
      <c r="D188" s="31">
        <v>1</v>
      </c>
      <c r="E188" s="31">
        <v>90</v>
      </c>
      <c r="F188" s="31">
        <v>1</v>
      </c>
      <c r="G188" s="31">
        <v>10</v>
      </c>
      <c r="H188" s="86">
        <v>0</v>
      </c>
      <c r="I188" s="63"/>
      <c r="J188" s="31"/>
      <c r="K188" s="31"/>
      <c r="L188" s="8"/>
      <c r="M188" s="8"/>
      <c r="N188" s="8"/>
      <c r="O188" s="8"/>
      <c r="P188" s="8"/>
      <c r="Q188" s="8"/>
    </row>
    <row r="189" spans="1:17" ht="12.75" customHeight="1" x14ac:dyDescent="0.25">
      <c r="A189" s="18"/>
      <c r="B189" s="53"/>
      <c r="C189" s="50" t="s">
        <v>253</v>
      </c>
      <c r="D189" s="31">
        <v>1</v>
      </c>
      <c r="E189" s="31">
        <v>15</v>
      </c>
      <c r="F189" s="31">
        <v>1</v>
      </c>
      <c r="G189" s="31">
        <v>15</v>
      </c>
      <c r="H189" s="86">
        <v>0</v>
      </c>
      <c r="I189" s="63"/>
      <c r="J189" s="31"/>
      <c r="K189" s="31"/>
      <c r="L189" s="8"/>
      <c r="M189" s="8"/>
      <c r="N189" s="8"/>
      <c r="O189" s="8"/>
      <c r="P189" s="8"/>
      <c r="Q189" s="8"/>
    </row>
    <row r="190" spans="1:17" ht="12.75" customHeight="1" x14ac:dyDescent="0.25">
      <c r="A190" s="18"/>
      <c r="B190" s="53"/>
      <c r="C190" s="50" t="s">
        <v>254</v>
      </c>
      <c r="D190" s="31"/>
      <c r="E190" s="31"/>
      <c r="F190" s="31"/>
      <c r="G190" s="31"/>
      <c r="H190" s="86">
        <v>0</v>
      </c>
      <c r="I190" s="63"/>
      <c r="J190" s="31"/>
      <c r="K190" s="31"/>
      <c r="L190" s="8"/>
      <c r="M190" s="8"/>
      <c r="N190" s="8"/>
      <c r="O190" s="8"/>
      <c r="P190" s="8"/>
      <c r="Q190" s="8"/>
    </row>
    <row r="191" spans="1:17" ht="12.75" customHeight="1" x14ac:dyDescent="0.25">
      <c r="A191" s="18"/>
      <c r="B191" s="53"/>
      <c r="C191" s="50" t="s">
        <v>255</v>
      </c>
      <c r="D191" s="31"/>
      <c r="E191" s="31"/>
      <c r="F191" s="31"/>
      <c r="G191" s="31"/>
      <c r="H191" s="86">
        <v>0</v>
      </c>
      <c r="I191" s="63"/>
      <c r="J191" s="31"/>
      <c r="K191" s="31"/>
      <c r="L191" s="8"/>
      <c r="M191" s="8"/>
      <c r="N191" s="8"/>
      <c r="O191" s="8"/>
      <c r="P191" s="8"/>
      <c r="Q191" s="8"/>
    </row>
    <row r="192" spans="1:17" ht="12.75" customHeight="1" x14ac:dyDescent="0.25">
      <c r="A192" s="18"/>
      <c r="B192" s="53"/>
      <c r="C192" s="50" t="s">
        <v>256</v>
      </c>
      <c r="D192" s="31"/>
      <c r="E192" s="31"/>
      <c r="F192" s="31"/>
      <c r="G192" s="31"/>
      <c r="H192" s="86">
        <v>0</v>
      </c>
      <c r="I192" s="63"/>
      <c r="J192" s="31"/>
      <c r="K192" s="31"/>
      <c r="L192" s="8"/>
      <c r="M192" s="8"/>
      <c r="N192" s="8"/>
      <c r="O192" s="8"/>
      <c r="P192" s="8"/>
      <c r="Q192" s="8"/>
    </row>
    <row r="193" spans="1:17" ht="12.75" customHeight="1" x14ac:dyDescent="0.25">
      <c r="A193" s="18"/>
      <c r="B193" s="53"/>
      <c r="C193" s="50" t="s">
        <v>257</v>
      </c>
      <c r="D193" s="31"/>
      <c r="E193" s="31"/>
      <c r="F193" s="31"/>
      <c r="G193" s="31"/>
      <c r="H193" s="86">
        <v>0</v>
      </c>
      <c r="I193" s="63"/>
      <c r="J193" s="31"/>
      <c r="K193" s="31"/>
      <c r="L193" s="8"/>
      <c r="M193" s="8"/>
      <c r="N193" s="8"/>
      <c r="O193" s="8"/>
      <c r="P193" s="8"/>
      <c r="Q193" s="8"/>
    </row>
    <row r="194" spans="1:17" ht="12.75" customHeight="1" x14ac:dyDescent="0.25">
      <c r="A194" s="18"/>
      <c r="B194" s="53"/>
      <c r="C194" s="50" t="s">
        <v>258</v>
      </c>
      <c r="D194" s="31"/>
      <c r="E194" s="31"/>
      <c r="F194" s="31"/>
      <c r="G194" s="31"/>
      <c r="H194" s="86">
        <v>0</v>
      </c>
      <c r="I194" s="63"/>
      <c r="J194" s="31"/>
      <c r="K194" s="31"/>
      <c r="L194" s="8"/>
      <c r="M194" s="8"/>
      <c r="N194" s="8"/>
      <c r="O194" s="8"/>
      <c r="P194" s="8"/>
      <c r="Q194" s="8"/>
    </row>
    <row r="195" spans="1:17" ht="12.75" customHeight="1" x14ac:dyDescent="0.2">
      <c r="A195" s="18"/>
      <c r="B195" s="53"/>
      <c r="C195" s="19" t="s">
        <v>30</v>
      </c>
      <c r="D195" s="31">
        <f>SUM(D187:D194)</f>
        <v>3</v>
      </c>
      <c r="E195" s="31">
        <f t="shared" ref="E195:Q195" si="4">SUM(E187:E194)</f>
        <v>120</v>
      </c>
      <c r="F195" s="31">
        <f t="shared" si="4"/>
        <v>3</v>
      </c>
      <c r="G195" s="31">
        <f t="shared" si="4"/>
        <v>40</v>
      </c>
      <c r="H195" s="31">
        <f t="shared" si="4"/>
        <v>0</v>
      </c>
      <c r="I195" s="31">
        <f t="shared" si="4"/>
        <v>0</v>
      </c>
      <c r="J195" s="31">
        <f t="shared" si="4"/>
        <v>1</v>
      </c>
      <c r="K195" s="31">
        <f t="shared" si="4"/>
        <v>40</v>
      </c>
      <c r="L195" s="31">
        <f t="shared" si="4"/>
        <v>0</v>
      </c>
      <c r="M195" s="31">
        <f t="shared" si="4"/>
        <v>0</v>
      </c>
      <c r="N195" s="31">
        <f t="shared" si="4"/>
        <v>0</v>
      </c>
      <c r="O195" s="31">
        <f t="shared" si="4"/>
        <v>0</v>
      </c>
      <c r="P195" s="31">
        <f t="shared" si="4"/>
        <v>0</v>
      </c>
      <c r="Q195" s="31">
        <f t="shared" si="4"/>
        <v>0</v>
      </c>
    </row>
    <row r="196" spans="1:17" ht="15" x14ac:dyDescent="0.25">
      <c r="A196" s="18"/>
      <c r="B196" s="53"/>
      <c r="C196" s="60" t="s">
        <v>265</v>
      </c>
      <c r="D196" s="31"/>
      <c r="E196" s="31"/>
      <c r="F196" s="31"/>
      <c r="G196" s="31"/>
      <c r="H196" s="86">
        <v>0</v>
      </c>
      <c r="I196" s="63"/>
      <c r="J196" s="31"/>
      <c r="K196" s="31"/>
      <c r="L196" s="8"/>
      <c r="M196" s="8"/>
      <c r="N196" s="8"/>
      <c r="O196" s="8"/>
      <c r="P196" s="8"/>
      <c r="Q196" s="8"/>
    </row>
    <row r="197" spans="1:17" ht="12.75" customHeight="1" x14ac:dyDescent="0.25">
      <c r="A197" s="18"/>
      <c r="B197" s="53"/>
      <c r="C197" s="50" t="s">
        <v>260</v>
      </c>
      <c r="D197" s="31">
        <v>17</v>
      </c>
      <c r="E197" s="31">
        <v>420</v>
      </c>
      <c r="F197" s="31">
        <v>4</v>
      </c>
      <c r="G197" s="31">
        <v>290</v>
      </c>
      <c r="H197" s="86">
        <v>0</v>
      </c>
      <c r="I197" s="63"/>
      <c r="J197" s="31"/>
      <c r="K197" s="31"/>
      <c r="L197" s="8"/>
      <c r="M197" s="8"/>
      <c r="N197" s="8"/>
      <c r="O197" s="8"/>
      <c r="P197" s="8"/>
      <c r="Q197" s="8"/>
    </row>
    <row r="198" spans="1:17" ht="12.75" customHeight="1" x14ac:dyDescent="0.25">
      <c r="A198" s="18"/>
      <c r="B198" s="53"/>
      <c r="C198" s="50" t="s">
        <v>261</v>
      </c>
      <c r="D198" s="31"/>
      <c r="E198" s="31"/>
      <c r="F198" s="31"/>
      <c r="G198" s="31"/>
      <c r="H198" s="86">
        <v>0</v>
      </c>
      <c r="I198" s="63"/>
      <c r="J198" s="31"/>
      <c r="K198" s="31"/>
      <c r="L198" s="8"/>
      <c r="M198" s="8"/>
      <c r="N198" s="8"/>
      <c r="O198" s="8"/>
      <c r="P198" s="8"/>
      <c r="Q198" s="8"/>
    </row>
    <row r="199" spans="1:17" ht="12.75" customHeight="1" x14ac:dyDescent="0.25">
      <c r="A199" s="18"/>
      <c r="B199" s="53"/>
      <c r="C199" s="50" t="s">
        <v>262</v>
      </c>
      <c r="D199" s="102">
        <v>1</v>
      </c>
      <c r="E199" s="102">
        <v>400</v>
      </c>
      <c r="F199" s="102"/>
      <c r="G199" s="102"/>
      <c r="H199" s="86">
        <v>0</v>
      </c>
      <c r="I199" s="63"/>
      <c r="J199" s="31"/>
      <c r="K199" s="31"/>
      <c r="L199" s="8"/>
      <c r="M199" s="8"/>
      <c r="N199" s="8"/>
      <c r="O199" s="8"/>
      <c r="P199" s="8"/>
      <c r="Q199" s="8"/>
    </row>
    <row r="200" spans="1:17" ht="12.75" customHeight="1" x14ac:dyDescent="0.25">
      <c r="A200" s="18"/>
      <c r="B200" s="53"/>
      <c r="C200" s="50" t="s">
        <v>263</v>
      </c>
      <c r="D200" s="31"/>
      <c r="E200" s="31"/>
      <c r="F200" s="31"/>
      <c r="G200" s="31"/>
      <c r="H200" s="86">
        <v>0</v>
      </c>
      <c r="I200" s="63"/>
      <c r="J200" s="31"/>
      <c r="K200" s="31"/>
      <c r="L200" s="8"/>
      <c r="M200" s="8"/>
      <c r="N200" s="8"/>
      <c r="O200" s="8"/>
      <c r="P200" s="8"/>
      <c r="Q200" s="8"/>
    </row>
    <row r="201" spans="1:17" ht="12.75" customHeight="1" x14ac:dyDescent="0.25">
      <c r="A201" s="18"/>
      <c r="B201" s="53"/>
      <c r="C201" s="50" t="s">
        <v>264</v>
      </c>
      <c r="D201" s="31">
        <v>3</v>
      </c>
      <c r="E201" s="31">
        <v>535</v>
      </c>
      <c r="F201" s="31"/>
      <c r="G201" s="31"/>
      <c r="H201" s="86">
        <v>0</v>
      </c>
      <c r="I201" s="63"/>
      <c r="J201" s="31"/>
      <c r="K201" s="31"/>
      <c r="L201" s="8"/>
      <c r="M201" s="8"/>
      <c r="N201" s="8"/>
      <c r="O201" s="8"/>
      <c r="P201" s="8"/>
      <c r="Q201" s="8"/>
    </row>
    <row r="202" spans="1:17" ht="12.75" customHeight="1" x14ac:dyDescent="0.2">
      <c r="A202" s="18"/>
      <c r="B202" s="18"/>
      <c r="C202" s="59" t="s">
        <v>30</v>
      </c>
      <c r="D202" s="31">
        <f t="shared" ref="D202:Q202" si="5">SUM(D197:D201)</f>
        <v>21</v>
      </c>
      <c r="E202" s="31">
        <f t="shared" si="5"/>
        <v>1355</v>
      </c>
      <c r="F202" s="31">
        <f t="shared" si="5"/>
        <v>4</v>
      </c>
      <c r="G202" s="31">
        <f t="shared" si="5"/>
        <v>290</v>
      </c>
      <c r="H202" s="31">
        <f t="shared" si="5"/>
        <v>0</v>
      </c>
      <c r="I202" s="31">
        <f t="shared" si="5"/>
        <v>0</v>
      </c>
      <c r="J202" s="31">
        <f t="shared" si="5"/>
        <v>0</v>
      </c>
      <c r="K202" s="31">
        <f t="shared" si="5"/>
        <v>0</v>
      </c>
      <c r="L202" s="31">
        <f t="shared" si="5"/>
        <v>0</v>
      </c>
      <c r="M202" s="31">
        <f t="shared" si="5"/>
        <v>0</v>
      </c>
      <c r="N202" s="31">
        <f t="shared" si="5"/>
        <v>0</v>
      </c>
      <c r="O202" s="31">
        <f t="shared" si="5"/>
        <v>0</v>
      </c>
      <c r="P202" s="31">
        <f t="shared" si="5"/>
        <v>0</v>
      </c>
      <c r="Q202" s="31">
        <f t="shared" si="5"/>
        <v>0</v>
      </c>
    </row>
    <row r="203" spans="1:17" ht="15" x14ac:dyDescent="0.25">
      <c r="A203" s="18"/>
      <c r="B203" s="18"/>
      <c r="C203" s="51" t="s">
        <v>305</v>
      </c>
      <c r="D203" s="31"/>
      <c r="E203" s="31"/>
      <c r="F203" s="31"/>
      <c r="G203" s="31"/>
      <c r="H203" s="86">
        <v>0</v>
      </c>
      <c r="I203" s="63"/>
      <c r="J203" s="31"/>
      <c r="K203" s="31"/>
      <c r="L203" s="8"/>
      <c r="M203" s="8"/>
      <c r="N203" s="8"/>
      <c r="O203" s="8"/>
      <c r="P203" s="8"/>
      <c r="Q203" s="8"/>
    </row>
    <row r="204" spans="1:17" ht="12.75" customHeight="1" x14ac:dyDescent="0.25">
      <c r="A204" s="18"/>
      <c r="B204" s="53"/>
      <c r="C204" s="50" t="s">
        <v>266</v>
      </c>
      <c r="D204" s="31">
        <v>1</v>
      </c>
      <c r="E204" s="31">
        <v>296</v>
      </c>
      <c r="F204" s="31"/>
      <c r="G204" s="31"/>
      <c r="H204" s="86">
        <v>0</v>
      </c>
      <c r="I204" s="63"/>
      <c r="J204" s="31">
        <v>5</v>
      </c>
      <c r="K204" s="31">
        <v>310</v>
      </c>
      <c r="L204" s="8"/>
      <c r="M204" s="8"/>
      <c r="N204" s="8"/>
      <c r="O204" s="8"/>
      <c r="P204" s="8"/>
      <c r="Q204" s="8"/>
    </row>
    <row r="205" spans="1:17" ht="12.75" customHeight="1" x14ac:dyDescent="0.25">
      <c r="A205" s="18"/>
      <c r="B205" s="53"/>
      <c r="C205" s="50" t="s">
        <v>267</v>
      </c>
      <c r="D205" s="31"/>
      <c r="E205" s="31"/>
      <c r="F205" s="31"/>
      <c r="G205" s="31"/>
      <c r="H205" s="86">
        <v>0</v>
      </c>
      <c r="I205" s="63"/>
      <c r="J205" s="31"/>
      <c r="K205" s="31"/>
      <c r="L205" s="8"/>
      <c r="M205" s="8"/>
      <c r="N205" s="8"/>
      <c r="O205" s="8"/>
      <c r="P205" s="8"/>
      <c r="Q205" s="8"/>
    </row>
    <row r="206" spans="1:17" ht="12.75" customHeight="1" x14ac:dyDescent="0.25">
      <c r="A206" s="18"/>
      <c r="B206" s="53"/>
      <c r="C206" s="57" t="s">
        <v>268</v>
      </c>
      <c r="D206" s="31"/>
      <c r="E206" s="31"/>
      <c r="F206" s="31"/>
      <c r="G206" s="31"/>
      <c r="H206" s="86">
        <v>0</v>
      </c>
      <c r="I206" s="63"/>
      <c r="J206" s="31"/>
      <c r="K206" s="31"/>
      <c r="L206" s="8"/>
      <c r="M206" s="8"/>
      <c r="N206" s="8"/>
      <c r="O206" s="8"/>
      <c r="P206" s="8"/>
      <c r="Q206" s="8"/>
    </row>
    <row r="207" spans="1:17" ht="12.75" customHeight="1" x14ac:dyDescent="0.25">
      <c r="A207" s="18"/>
      <c r="B207" s="53"/>
      <c r="C207" s="50" t="s">
        <v>269</v>
      </c>
      <c r="D207" s="31"/>
      <c r="E207" s="31"/>
      <c r="F207" s="31"/>
      <c r="G207" s="31"/>
      <c r="H207" s="86">
        <v>0</v>
      </c>
      <c r="I207" s="63"/>
      <c r="J207" s="31"/>
      <c r="K207" s="31"/>
      <c r="L207" s="8"/>
      <c r="M207" s="8"/>
      <c r="N207" s="8"/>
      <c r="O207" s="8"/>
      <c r="P207" s="8"/>
      <c r="Q207" s="8"/>
    </row>
    <row r="208" spans="1:17" ht="12.75" customHeight="1" x14ac:dyDescent="0.25">
      <c r="A208" s="18"/>
      <c r="B208" s="53"/>
      <c r="C208" s="50" t="s">
        <v>270</v>
      </c>
      <c r="D208" s="31">
        <v>11</v>
      </c>
      <c r="E208" s="31">
        <v>3789</v>
      </c>
      <c r="F208" s="31">
        <v>1</v>
      </c>
      <c r="G208" s="31">
        <v>54</v>
      </c>
      <c r="H208" s="86">
        <v>0</v>
      </c>
      <c r="I208" s="63"/>
      <c r="J208" s="31">
        <v>2</v>
      </c>
      <c r="K208" s="31">
        <v>120</v>
      </c>
      <c r="L208" s="8"/>
      <c r="M208" s="8"/>
      <c r="N208" s="8"/>
      <c r="O208" s="8"/>
      <c r="P208" s="8"/>
      <c r="Q208" s="8"/>
    </row>
    <row r="209" spans="1:17" ht="12.75" customHeight="1" x14ac:dyDescent="0.25">
      <c r="A209" s="18"/>
      <c r="B209" s="53"/>
      <c r="C209" s="50" t="s">
        <v>271</v>
      </c>
      <c r="D209" s="31">
        <v>2</v>
      </c>
      <c r="E209" s="31">
        <f>10+10</f>
        <v>20</v>
      </c>
      <c r="F209" s="31">
        <v>2</v>
      </c>
      <c r="G209" s="31">
        <f>10+10</f>
        <v>20</v>
      </c>
      <c r="H209" s="86">
        <v>0</v>
      </c>
      <c r="I209" s="63"/>
      <c r="J209" s="31"/>
      <c r="K209" s="31"/>
      <c r="L209" s="8"/>
      <c r="M209" s="8"/>
      <c r="N209" s="8"/>
      <c r="O209" s="8"/>
      <c r="P209" s="8"/>
      <c r="Q209" s="8"/>
    </row>
    <row r="210" spans="1:17" ht="12.75" customHeight="1" x14ac:dyDescent="0.25">
      <c r="A210" s="18"/>
      <c r="B210" s="53"/>
      <c r="C210" s="50" t="s">
        <v>272</v>
      </c>
      <c r="D210" s="31"/>
      <c r="E210" s="31"/>
      <c r="F210" s="31"/>
      <c r="G210" s="31"/>
      <c r="H210" s="86">
        <v>0</v>
      </c>
      <c r="I210" s="63"/>
      <c r="J210" s="31"/>
      <c r="K210" s="31"/>
      <c r="L210" s="8"/>
      <c r="M210" s="8"/>
      <c r="N210" s="8"/>
      <c r="O210" s="8"/>
      <c r="P210" s="8"/>
      <c r="Q210" s="8"/>
    </row>
    <row r="211" spans="1:17" ht="12.75" customHeight="1" x14ac:dyDescent="0.25">
      <c r="A211" s="18"/>
      <c r="B211" s="53"/>
      <c r="C211" s="50" t="s">
        <v>273</v>
      </c>
      <c r="D211" s="31"/>
      <c r="E211" s="31"/>
      <c r="F211" s="31"/>
      <c r="G211" s="31"/>
      <c r="H211" s="86">
        <v>0</v>
      </c>
      <c r="I211" s="63"/>
      <c r="J211" s="31"/>
      <c r="K211" s="31"/>
      <c r="L211" s="8"/>
      <c r="M211" s="8"/>
      <c r="N211" s="8"/>
      <c r="O211" s="8"/>
      <c r="P211" s="8"/>
      <c r="Q211" s="8"/>
    </row>
    <row r="212" spans="1:17" ht="12.75" customHeight="1" x14ac:dyDescent="0.25">
      <c r="A212" s="18"/>
      <c r="B212" s="53"/>
      <c r="C212" s="50" t="s">
        <v>274</v>
      </c>
      <c r="D212" s="31">
        <v>1</v>
      </c>
      <c r="E212" s="31">
        <v>10</v>
      </c>
      <c r="F212" s="31">
        <v>1</v>
      </c>
      <c r="G212" s="31">
        <v>10</v>
      </c>
      <c r="H212" s="86">
        <v>0</v>
      </c>
      <c r="I212" s="63"/>
      <c r="J212" s="31"/>
      <c r="K212" s="31"/>
      <c r="L212" s="8"/>
      <c r="M212" s="8"/>
      <c r="N212" s="8"/>
      <c r="O212" s="8"/>
      <c r="P212" s="8"/>
      <c r="Q212" s="8"/>
    </row>
    <row r="213" spans="1:17" ht="12.75" customHeight="1" x14ac:dyDescent="0.25">
      <c r="A213" s="18"/>
      <c r="B213" s="53"/>
      <c r="C213" s="50" t="s">
        <v>275</v>
      </c>
      <c r="D213" s="31">
        <v>3</v>
      </c>
      <c r="E213" s="31">
        <v>420</v>
      </c>
      <c r="F213" s="31">
        <v>3</v>
      </c>
      <c r="G213" s="31">
        <v>100</v>
      </c>
      <c r="H213" s="86">
        <v>0</v>
      </c>
      <c r="I213" s="63"/>
      <c r="J213" s="31"/>
      <c r="K213" s="31"/>
      <c r="L213" s="8"/>
      <c r="M213" s="8"/>
      <c r="N213" s="8"/>
      <c r="O213" s="8"/>
      <c r="P213" s="8"/>
      <c r="Q213" s="8"/>
    </row>
    <row r="214" spans="1:17" ht="12.75" customHeight="1" x14ac:dyDescent="0.25">
      <c r="A214" s="18"/>
      <c r="B214" s="53"/>
      <c r="C214" s="50" t="s">
        <v>276</v>
      </c>
      <c r="D214" s="31">
        <v>4</v>
      </c>
      <c r="E214" s="31">
        <f>10+10+4.4+4.4</f>
        <v>28.799999999999997</v>
      </c>
      <c r="F214" s="31"/>
      <c r="G214" s="31"/>
      <c r="H214" s="86">
        <v>0</v>
      </c>
      <c r="I214" s="63"/>
      <c r="J214" s="31">
        <v>1</v>
      </c>
      <c r="K214" s="31">
        <v>40</v>
      </c>
      <c r="L214" s="8"/>
      <c r="M214" s="8"/>
      <c r="N214" s="8"/>
      <c r="O214" s="8"/>
      <c r="P214" s="8"/>
      <c r="Q214" s="8"/>
    </row>
    <row r="215" spans="1:17" ht="12.75" customHeight="1" x14ac:dyDescent="0.25">
      <c r="A215" s="18"/>
      <c r="B215" s="53"/>
      <c r="C215" s="50" t="s">
        <v>277</v>
      </c>
      <c r="D215" s="31">
        <v>3</v>
      </c>
      <c r="E215" s="31">
        <v>120</v>
      </c>
      <c r="F215" s="31">
        <v>3</v>
      </c>
      <c r="G215" s="31">
        <v>120</v>
      </c>
      <c r="H215" s="86">
        <v>0</v>
      </c>
      <c r="I215" s="63"/>
      <c r="J215" s="31">
        <v>1</v>
      </c>
      <c r="K215" s="31">
        <v>25.2</v>
      </c>
      <c r="L215" s="8"/>
      <c r="M215" s="8"/>
      <c r="N215" s="8"/>
      <c r="O215" s="8"/>
      <c r="P215" s="8"/>
      <c r="Q215" s="8"/>
    </row>
    <row r="216" spans="1:17" ht="12.75" customHeight="1" x14ac:dyDescent="0.25">
      <c r="A216" s="18"/>
      <c r="B216" s="53"/>
      <c r="C216" s="50" t="s">
        <v>278</v>
      </c>
      <c r="D216" s="31">
        <v>2</v>
      </c>
      <c r="E216" s="31">
        <f>8+4.4</f>
        <v>12.4</v>
      </c>
      <c r="F216" s="31">
        <v>2</v>
      </c>
      <c r="G216" s="31">
        <f>8+4.4</f>
        <v>12.4</v>
      </c>
      <c r="H216" s="86">
        <v>0</v>
      </c>
      <c r="I216" s="63"/>
      <c r="J216" s="31"/>
      <c r="K216" s="31"/>
      <c r="L216" s="8"/>
      <c r="M216" s="8"/>
      <c r="N216" s="8"/>
      <c r="O216" s="8"/>
      <c r="P216" s="8"/>
      <c r="Q216" s="8"/>
    </row>
    <row r="217" spans="1:17" ht="12.75" customHeight="1" x14ac:dyDescent="0.25">
      <c r="A217" s="18"/>
      <c r="B217" s="53"/>
      <c r="C217" s="50" t="s">
        <v>279</v>
      </c>
      <c r="D217" s="31"/>
      <c r="E217" s="31"/>
      <c r="F217" s="31"/>
      <c r="G217" s="31"/>
      <c r="H217" s="86">
        <v>0</v>
      </c>
      <c r="I217" s="63"/>
      <c r="J217" s="31"/>
      <c r="K217" s="31"/>
      <c r="L217" s="8"/>
      <c r="M217" s="8"/>
      <c r="N217" s="8"/>
      <c r="O217" s="8"/>
      <c r="P217" s="8"/>
      <c r="Q217" s="8"/>
    </row>
    <row r="218" spans="1:17" ht="12.75" customHeight="1" x14ac:dyDescent="0.25">
      <c r="A218" s="18"/>
      <c r="B218" s="53"/>
      <c r="C218" s="50" t="s">
        <v>280</v>
      </c>
      <c r="D218" s="31">
        <v>1</v>
      </c>
      <c r="E218" s="31">
        <v>140</v>
      </c>
      <c r="F218" s="31">
        <v>1</v>
      </c>
      <c r="G218" s="31">
        <v>4.4000000000000004</v>
      </c>
      <c r="H218" s="86">
        <v>0</v>
      </c>
      <c r="I218" s="63"/>
      <c r="J218" s="31"/>
      <c r="K218" s="31"/>
      <c r="L218" s="8"/>
      <c r="M218" s="8"/>
      <c r="N218" s="8"/>
      <c r="O218" s="8"/>
      <c r="P218" s="8"/>
      <c r="Q218" s="8"/>
    </row>
    <row r="219" spans="1:17" ht="12.75" customHeight="1" x14ac:dyDescent="0.25">
      <c r="A219" s="18"/>
      <c r="B219" s="53"/>
      <c r="C219" s="50" t="s">
        <v>281</v>
      </c>
      <c r="D219" s="31">
        <v>2</v>
      </c>
      <c r="E219" s="31">
        <v>260</v>
      </c>
      <c r="F219" s="31">
        <v>2</v>
      </c>
      <c r="G219" s="31">
        <v>44</v>
      </c>
      <c r="H219" s="86">
        <v>0</v>
      </c>
      <c r="I219" s="63"/>
      <c r="J219" s="31"/>
      <c r="K219" s="31"/>
      <c r="L219" s="8"/>
      <c r="M219" s="8"/>
      <c r="N219" s="8"/>
      <c r="O219" s="8"/>
      <c r="P219" s="8"/>
      <c r="Q219" s="8"/>
    </row>
    <row r="220" spans="1:17" ht="12.75" customHeight="1" x14ac:dyDescent="0.25">
      <c r="A220" s="18"/>
      <c r="B220" s="53"/>
      <c r="C220" s="50" t="s">
        <v>282</v>
      </c>
      <c r="D220" s="31"/>
      <c r="E220" s="31"/>
      <c r="F220" s="31"/>
      <c r="G220" s="31"/>
      <c r="H220" s="86">
        <v>0</v>
      </c>
      <c r="I220" s="63"/>
      <c r="J220" s="31"/>
      <c r="K220" s="31"/>
      <c r="L220" s="8"/>
      <c r="M220" s="8"/>
      <c r="N220" s="8"/>
      <c r="O220" s="8"/>
      <c r="P220" s="8"/>
      <c r="Q220" s="8"/>
    </row>
    <row r="221" spans="1:17" ht="12.75" customHeight="1" x14ac:dyDescent="0.25">
      <c r="A221" s="18"/>
      <c r="B221" s="53"/>
      <c r="C221" s="50" t="s">
        <v>283</v>
      </c>
      <c r="D221" s="31"/>
      <c r="E221" s="31"/>
      <c r="F221" s="31"/>
      <c r="G221" s="31"/>
      <c r="H221" s="86">
        <v>0</v>
      </c>
      <c r="I221" s="63"/>
      <c r="J221" s="31"/>
      <c r="K221" s="31"/>
      <c r="L221" s="8"/>
      <c r="M221" s="8"/>
      <c r="N221" s="8"/>
      <c r="O221" s="8"/>
      <c r="P221" s="8"/>
      <c r="Q221" s="8"/>
    </row>
    <row r="222" spans="1:17" ht="12.75" customHeight="1" x14ac:dyDescent="0.25">
      <c r="A222" s="18"/>
      <c r="B222" s="53"/>
      <c r="C222" s="50" t="s">
        <v>284</v>
      </c>
      <c r="D222" s="31">
        <v>8</v>
      </c>
      <c r="E222" s="31">
        <v>577</v>
      </c>
      <c r="F222" s="31"/>
      <c r="G222" s="31"/>
      <c r="H222" s="86">
        <v>0</v>
      </c>
      <c r="I222" s="63"/>
      <c r="J222" s="31"/>
      <c r="K222" s="31"/>
      <c r="L222" s="8"/>
      <c r="M222" s="8"/>
      <c r="N222" s="8"/>
      <c r="O222" s="8"/>
      <c r="P222" s="8"/>
      <c r="Q222" s="8"/>
    </row>
    <row r="223" spans="1:17" ht="12.75" customHeight="1" x14ac:dyDescent="0.25">
      <c r="A223" s="18"/>
      <c r="B223" s="53"/>
      <c r="C223" s="50" t="s">
        <v>285</v>
      </c>
      <c r="D223" s="31">
        <v>1</v>
      </c>
      <c r="E223" s="31">
        <v>100</v>
      </c>
      <c r="F223" s="31">
        <v>1</v>
      </c>
      <c r="G223" s="31">
        <v>15</v>
      </c>
      <c r="H223" s="86">
        <v>0</v>
      </c>
      <c r="I223" s="63"/>
      <c r="J223" s="31"/>
      <c r="K223" s="31"/>
      <c r="L223" s="8"/>
      <c r="M223" s="8"/>
      <c r="N223" s="8"/>
      <c r="O223" s="8"/>
      <c r="P223" s="8"/>
      <c r="Q223" s="8"/>
    </row>
    <row r="224" spans="1:17" ht="12.75" customHeight="1" x14ac:dyDescent="0.25">
      <c r="A224" s="18"/>
      <c r="B224" s="53"/>
      <c r="C224" s="50" t="s">
        <v>286</v>
      </c>
      <c r="D224" s="31">
        <v>1</v>
      </c>
      <c r="E224" s="31">
        <v>155</v>
      </c>
      <c r="F224" s="31">
        <v>1</v>
      </c>
      <c r="G224" s="31">
        <v>155</v>
      </c>
      <c r="H224" s="86">
        <v>0</v>
      </c>
      <c r="I224" s="63"/>
      <c r="J224" s="31"/>
      <c r="K224" s="31"/>
      <c r="L224" s="8"/>
      <c r="M224" s="8"/>
      <c r="N224" s="8"/>
      <c r="O224" s="8"/>
      <c r="P224" s="8"/>
      <c r="Q224" s="8"/>
    </row>
    <row r="225" spans="1:17" ht="12.75" customHeight="1" x14ac:dyDescent="0.25">
      <c r="A225" s="18"/>
      <c r="B225" s="53"/>
      <c r="C225" s="50" t="s">
        <v>287</v>
      </c>
      <c r="D225" s="31">
        <v>1</v>
      </c>
      <c r="E225" s="31">
        <v>12</v>
      </c>
      <c r="F225" s="31">
        <v>1</v>
      </c>
      <c r="G225" s="31">
        <v>12</v>
      </c>
      <c r="H225" s="86">
        <v>0</v>
      </c>
      <c r="I225" s="63"/>
      <c r="J225" s="31">
        <v>1</v>
      </c>
      <c r="K225" s="31">
        <v>15</v>
      </c>
      <c r="L225" s="8"/>
      <c r="M225" s="8"/>
      <c r="N225" s="8"/>
      <c r="O225" s="8"/>
      <c r="P225" s="8"/>
      <c r="Q225" s="8"/>
    </row>
    <row r="226" spans="1:17" ht="12.75" customHeight="1" x14ac:dyDescent="0.25">
      <c r="A226" s="18"/>
      <c r="B226" s="53"/>
      <c r="C226" s="50" t="s">
        <v>288</v>
      </c>
      <c r="D226" s="31">
        <v>1</v>
      </c>
      <c r="E226" s="31">
        <v>4.4000000000000004</v>
      </c>
      <c r="F226" s="31">
        <v>1</v>
      </c>
      <c r="G226" s="31">
        <v>4.4000000000000004</v>
      </c>
      <c r="H226" s="86">
        <v>0</v>
      </c>
      <c r="I226" s="63"/>
      <c r="J226" s="31"/>
      <c r="K226" s="31"/>
      <c r="L226" s="8"/>
      <c r="M226" s="8"/>
      <c r="N226" s="8"/>
      <c r="O226" s="8"/>
      <c r="P226" s="8"/>
      <c r="Q226" s="8"/>
    </row>
    <row r="227" spans="1:17" ht="12.75" customHeight="1" x14ac:dyDescent="0.25">
      <c r="A227" s="18"/>
      <c r="B227" s="53"/>
      <c r="C227" s="50" t="s">
        <v>289</v>
      </c>
      <c r="D227" s="31"/>
      <c r="E227" s="31"/>
      <c r="F227" s="31"/>
      <c r="G227" s="31"/>
      <c r="H227" s="86">
        <v>0</v>
      </c>
      <c r="I227" s="63"/>
      <c r="J227" s="31"/>
      <c r="K227" s="31"/>
      <c r="L227" s="8"/>
      <c r="M227" s="8"/>
      <c r="N227" s="8"/>
      <c r="O227" s="8"/>
      <c r="P227" s="8"/>
      <c r="Q227" s="8"/>
    </row>
    <row r="228" spans="1:17" ht="12.75" customHeight="1" x14ac:dyDescent="0.25">
      <c r="A228" s="18"/>
      <c r="B228" s="53"/>
      <c r="C228" s="50" t="s">
        <v>290</v>
      </c>
      <c r="D228" s="31">
        <v>1</v>
      </c>
      <c r="E228" s="31">
        <v>4.4000000000000004</v>
      </c>
      <c r="F228" s="31">
        <v>1</v>
      </c>
      <c r="G228" s="31">
        <v>4.4000000000000004</v>
      </c>
      <c r="H228" s="86">
        <v>0</v>
      </c>
      <c r="I228" s="63"/>
      <c r="J228" s="31"/>
      <c r="K228" s="31"/>
      <c r="L228" s="8"/>
      <c r="M228" s="8"/>
      <c r="N228" s="8"/>
      <c r="O228" s="8"/>
      <c r="P228" s="8"/>
      <c r="Q228" s="8"/>
    </row>
    <row r="229" spans="1:17" ht="12.75" customHeight="1" x14ac:dyDescent="0.25">
      <c r="A229" s="18"/>
      <c r="B229" s="53"/>
      <c r="C229" s="50" t="s">
        <v>291</v>
      </c>
      <c r="D229" s="31"/>
      <c r="E229" s="31"/>
      <c r="F229" s="31"/>
      <c r="G229" s="31"/>
      <c r="H229" s="86">
        <v>0</v>
      </c>
      <c r="I229" s="63"/>
      <c r="J229" s="31"/>
      <c r="K229" s="31"/>
      <c r="L229" s="8"/>
      <c r="M229" s="8"/>
      <c r="N229" s="8"/>
      <c r="O229" s="8"/>
      <c r="P229" s="8"/>
      <c r="Q229" s="8"/>
    </row>
    <row r="230" spans="1:17" ht="12.75" customHeight="1" x14ac:dyDescent="0.25">
      <c r="A230" s="18"/>
      <c r="B230" s="53"/>
      <c r="C230" s="50" t="s">
        <v>292</v>
      </c>
      <c r="D230" s="31"/>
      <c r="E230" s="31"/>
      <c r="F230" s="31"/>
      <c r="G230" s="31"/>
      <c r="H230" s="86">
        <v>0</v>
      </c>
      <c r="I230" s="63"/>
      <c r="J230" s="31"/>
      <c r="K230" s="31"/>
      <c r="L230" s="8"/>
      <c r="M230" s="8"/>
      <c r="N230" s="8"/>
      <c r="O230" s="8"/>
      <c r="P230" s="8"/>
      <c r="Q230" s="8"/>
    </row>
    <row r="231" spans="1:17" ht="12.75" customHeight="1" x14ac:dyDescent="0.25">
      <c r="A231" s="18"/>
      <c r="B231" s="53"/>
      <c r="C231" s="50" t="s">
        <v>293</v>
      </c>
      <c r="D231" s="31"/>
      <c r="E231" s="31"/>
      <c r="F231" s="31"/>
      <c r="G231" s="31"/>
      <c r="H231" s="86">
        <v>0</v>
      </c>
      <c r="I231" s="63"/>
      <c r="J231" s="31"/>
      <c r="K231" s="31"/>
      <c r="L231" s="8"/>
      <c r="M231" s="8"/>
      <c r="N231" s="8"/>
      <c r="O231" s="8"/>
      <c r="P231" s="8"/>
      <c r="Q231" s="8"/>
    </row>
    <row r="232" spans="1:17" ht="12.75" customHeight="1" x14ac:dyDescent="0.25">
      <c r="A232" s="18"/>
      <c r="B232" s="53"/>
      <c r="C232" s="50" t="s">
        <v>294</v>
      </c>
      <c r="D232" s="31">
        <v>3</v>
      </c>
      <c r="E232" s="31">
        <f>10+13+15</f>
        <v>38</v>
      </c>
      <c r="F232" s="31">
        <v>3</v>
      </c>
      <c r="G232" s="31">
        <f>10+13+15</f>
        <v>38</v>
      </c>
      <c r="H232" s="86">
        <v>0</v>
      </c>
      <c r="I232" s="63"/>
      <c r="J232" s="31"/>
      <c r="K232" s="31"/>
      <c r="L232" s="8"/>
      <c r="M232" s="8"/>
      <c r="N232" s="8"/>
      <c r="O232" s="8"/>
      <c r="P232" s="8"/>
      <c r="Q232" s="8"/>
    </row>
    <row r="233" spans="1:17" ht="12.75" customHeight="1" x14ac:dyDescent="0.25">
      <c r="A233" s="18"/>
      <c r="B233" s="53"/>
      <c r="C233" s="50" t="s">
        <v>295</v>
      </c>
      <c r="D233" s="31">
        <v>2</v>
      </c>
      <c r="E233" s="31">
        <f>10+10</f>
        <v>20</v>
      </c>
      <c r="F233" s="31"/>
      <c r="G233" s="31"/>
      <c r="H233" s="86">
        <v>0</v>
      </c>
      <c r="I233" s="63"/>
      <c r="J233" s="31"/>
      <c r="K233" s="31"/>
      <c r="L233" s="8"/>
      <c r="M233" s="8"/>
      <c r="N233" s="8"/>
      <c r="O233" s="8"/>
      <c r="P233" s="8"/>
      <c r="Q233" s="8"/>
    </row>
    <row r="234" spans="1:17" ht="12.75" customHeight="1" x14ac:dyDescent="0.25">
      <c r="A234" s="18"/>
      <c r="B234" s="53"/>
      <c r="C234" s="50" t="s">
        <v>296</v>
      </c>
      <c r="D234" s="31">
        <v>1</v>
      </c>
      <c r="E234" s="31">
        <v>40</v>
      </c>
      <c r="F234" s="31">
        <v>1</v>
      </c>
      <c r="G234" s="31">
        <v>40</v>
      </c>
      <c r="H234" s="86">
        <v>0</v>
      </c>
      <c r="I234" s="63"/>
      <c r="J234" s="31"/>
      <c r="K234" s="31"/>
      <c r="L234" s="8"/>
      <c r="M234" s="8"/>
      <c r="N234" s="8"/>
      <c r="O234" s="8"/>
      <c r="P234" s="8"/>
      <c r="Q234" s="8"/>
    </row>
    <row r="235" spans="1:17" ht="12.75" customHeight="1" x14ac:dyDescent="0.25">
      <c r="A235" s="18"/>
      <c r="B235" s="53"/>
      <c r="C235" s="50" t="s">
        <v>297</v>
      </c>
      <c r="D235" s="31"/>
      <c r="E235" s="31"/>
      <c r="F235" s="31"/>
      <c r="G235" s="31"/>
      <c r="H235" s="86">
        <v>0</v>
      </c>
      <c r="I235" s="63"/>
      <c r="J235" s="31"/>
      <c r="K235" s="31"/>
      <c r="L235" s="8"/>
      <c r="M235" s="8"/>
      <c r="N235" s="8"/>
      <c r="O235" s="8"/>
      <c r="P235" s="8"/>
      <c r="Q235" s="8"/>
    </row>
    <row r="236" spans="1:17" ht="12.75" customHeight="1" x14ac:dyDescent="0.25">
      <c r="A236" s="18"/>
      <c r="B236" s="53"/>
      <c r="C236" s="50" t="s">
        <v>298</v>
      </c>
      <c r="D236" s="31"/>
      <c r="E236" s="31"/>
      <c r="F236" s="31"/>
      <c r="G236" s="31"/>
      <c r="H236" s="86">
        <v>0</v>
      </c>
      <c r="I236" s="63"/>
      <c r="J236" s="31"/>
      <c r="K236" s="31"/>
      <c r="L236" s="8"/>
      <c r="M236" s="8"/>
      <c r="N236" s="8"/>
      <c r="O236" s="8"/>
      <c r="P236" s="8"/>
      <c r="Q236" s="8"/>
    </row>
    <row r="237" spans="1:17" ht="12.75" customHeight="1" x14ac:dyDescent="0.25">
      <c r="A237" s="18"/>
      <c r="B237" s="53"/>
      <c r="C237" s="50" t="s">
        <v>299</v>
      </c>
      <c r="D237" s="31"/>
      <c r="E237" s="31"/>
      <c r="F237" s="31"/>
      <c r="G237" s="31"/>
      <c r="H237" s="86">
        <v>0</v>
      </c>
      <c r="I237" s="63"/>
      <c r="J237" s="31"/>
      <c r="K237" s="31"/>
      <c r="L237" s="8"/>
      <c r="M237" s="8"/>
      <c r="N237" s="8"/>
      <c r="O237" s="8"/>
      <c r="P237" s="8"/>
      <c r="Q237" s="8"/>
    </row>
    <row r="238" spans="1:17" ht="12.75" customHeight="1" x14ac:dyDescent="0.25">
      <c r="A238" s="18"/>
      <c r="B238" s="53"/>
      <c r="C238" s="50" t="s">
        <v>300</v>
      </c>
      <c r="D238" s="31">
        <v>1</v>
      </c>
      <c r="E238" s="31">
        <v>43</v>
      </c>
      <c r="F238" s="31">
        <v>1</v>
      </c>
      <c r="G238" s="31">
        <v>43</v>
      </c>
      <c r="H238" s="86">
        <v>0</v>
      </c>
      <c r="I238" s="63"/>
      <c r="J238" s="31"/>
      <c r="K238" s="31"/>
      <c r="L238" s="8"/>
      <c r="M238" s="8"/>
      <c r="N238" s="8"/>
      <c r="O238" s="8"/>
      <c r="P238" s="8"/>
      <c r="Q238" s="8"/>
    </row>
    <row r="239" spans="1:17" ht="12.75" customHeight="1" x14ac:dyDescent="0.25">
      <c r="A239" s="18"/>
      <c r="B239" s="53"/>
      <c r="C239" s="50" t="s">
        <v>301</v>
      </c>
      <c r="D239" s="31"/>
      <c r="E239" s="31"/>
      <c r="F239" s="31"/>
      <c r="G239" s="31"/>
      <c r="H239" s="86">
        <v>0</v>
      </c>
      <c r="I239" s="63"/>
      <c r="J239" s="31"/>
      <c r="K239" s="31"/>
      <c r="L239" s="8"/>
      <c r="M239" s="8"/>
      <c r="N239" s="8"/>
      <c r="O239" s="8"/>
      <c r="P239" s="8"/>
      <c r="Q239" s="8"/>
    </row>
    <row r="240" spans="1:17" ht="12.75" customHeight="1" x14ac:dyDescent="0.25">
      <c r="A240" s="18"/>
      <c r="B240" s="53"/>
      <c r="C240" s="50" t="s">
        <v>302</v>
      </c>
      <c r="D240" s="31"/>
      <c r="E240" s="31"/>
      <c r="F240" s="31"/>
      <c r="G240" s="31"/>
      <c r="H240" s="86">
        <v>0</v>
      </c>
      <c r="I240" s="63"/>
      <c r="J240" s="31"/>
      <c r="K240" s="31"/>
      <c r="L240" s="8"/>
      <c r="M240" s="8"/>
      <c r="N240" s="8"/>
      <c r="O240" s="8"/>
      <c r="P240" s="8"/>
      <c r="Q240" s="8"/>
    </row>
    <row r="241" spans="1:17" ht="12.75" customHeight="1" x14ac:dyDescent="0.25">
      <c r="A241" s="18"/>
      <c r="B241" s="53"/>
      <c r="C241" s="50" t="s">
        <v>303</v>
      </c>
      <c r="D241" s="31"/>
      <c r="E241" s="31"/>
      <c r="F241" s="31"/>
      <c r="G241" s="31"/>
      <c r="H241" s="86">
        <v>0</v>
      </c>
      <c r="I241" s="63"/>
      <c r="J241" s="31"/>
      <c r="K241" s="31"/>
      <c r="L241" s="8"/>
      <c r="M241" s="8"/>
      <c r="N241" s="8"/>
      <c r="O241" s="8"/>
      <c r="P241" s="8"/>
      <c r="Q241" s="8"/>
    </row>
    <row r="242" spans="1:17" ht="12.75" customHeight="1" x14ac:dyDescent="0.25">
      <c r="A242" s="18"/>
      <c r="B242" s="53"/>
      <c r="C242" s="50" t="s">
        <v>359</v>
      </c>
      <c r="D242" s="31"/>
      <c r="E242" s="31"/>
      <c r="F242" s="31"/>
      <c r="G242" s="31"/>
      <c r="H242" s="86">
        <v>0</v>
      </c>
      <c r="I242" s="63"/>
      <c r="J242" s="31"/>
      <c r="K242" s="31"/>
      <c r="L242" s="8"/>
      <c r="M242" s="8"/>
      <c r="N242" s="8"/>
      <c r="O242" s="8"/>
      <c r="P242" s="8"/>
      <c r="Q242" s="8"/>
    </row>
    <row r="243" spans="1:17" ht="12.75" customHeight="1" x14ac:dyDescent="0.25">
      <c r="A243" s="18"/>
      <c r="B243" s="53"/>
      <c r="C243" s="50" t="s">
        <v>304</v>
      </c>
      <c r="D243" s="31"/>
      <c r="E243" s="31"/>
      <c r="F243" s="31"/>
      <c r="G243" s="31"/>
      <c r="H243" s="86">
        <v>0</v>
      </c>
      <c r="I243" s="63"/>
      <c r="J243" s="31"/>
      <c r="K243" s="31"/>
      <c r="L243" s="8"/>
      <c r="M243" s="8"/>
      <c r="N243" s="8"/>
      <c r="O243" s="8"/>
      <c r="P243" s="8"/>
      <c r="Q243" s="8"/>
    </row>
    <row r="244" spans="1:17" ht="12.75" customHeight="1" x14ac:dyDescent="0.2">
      <c r="A244" s="18"/>
      <c r="B244" s="18"/>
      <c r="C244" s="19" t="s">
        <v>30</v>
      </c>
      <c r="D244" s="31">
        <f>SUM(D204:D243)</f>
        <v>50</v>
      </c>
      <c r="E244" s="31">
        <f t="shared" ref="E244" si="6">SUM(E204:E243)</f>
        <v>6089.9999999999991</v>
      </c>
      <c r="F244" s="31">
        <f t="shared" ref="F244:Q244" si="7">SUM(F204:F243)</f>
        <v>25</v>
      </c>
      <c r="G244" s="31">
        <f t="shared" si="7"/>
        <v>676.59999999999991</v>
      </c>
      <c r="H244" s="31">
        <f t="shared" si="7"/>
        <v>0</v>
      </c>
      <c r="I244" s="31">
        <f t="shared" si="7"/>
        <v>0</v>
      </c>
      <c r="J244" s="31">
        <f t="shared" si="7"/>
        <v>10</v>
      </c>
      <c r="K244" s="31">
        <f t="shared" si="7"/>
        <v>510.2</v>
      </c>
      <c r="L244" s="31">
        <f t="shared" si="7"/>
        <v>0</v>
      </c>
      <c r="M244" s="31">
        <f t="shared" si="7"/>
        <v>0</v>
      </c>
      <c r="N244" s="31">
        <f t="shared" si="7"/>
        <v>0</v>
      </c>
      <c r="O244" s="31">
        <f t="shared" si="7"/>
        <v>0</v>
      </c>
      <c r="P244" s="31">
        <f t="shared" si="7"/>
        <v>0</v>
      </c>
      <c r="Q244" s="31">
        <f t="shared" si="7"/>
        <v>0</v>
      </c>
    </row>
    <row r="245" spans="1:17" ht="25.5" customHeight="1" x14ac:dyDescent="0.2">
      <c r="A245" s="14"/>
      <c r="B245" s="15"/>
      <c r="C245" s="23" t="s">
        <v>119</v>
      </c>
      <c r="D245" s="36">
        <f t="shared" ref="D245:Q245" si="8">SUM(D244+D202+D195+D185+D153+D102+D64)</f>
        <v>493</v>
      </c>
      <c r="E245" s="36">
        <f t="shared" si="8"/>
        <v>59937</v>
      </c>
      <c r="F245" s="36">
        <f t="shared" si="8"/>
        <v>322</v>
      </c>
      <c r="G245" s="36">
        <f t="shared" si="8"/>
        <v>21655.8</v>
      </c>
      <c r="H245" s="36">
        <f t="shared" si="8"/>
        <v>0</v>
      </c>
      <c r="I245" s="36">
        <f t="shared" si="8"/>
        <v>0</v>
      </c>
      <c r="J245" s="36">
        <f t="shared" si="8"/>
        <v>178</v>
      </c>
      <c r="K245" s="36">
        <f t="shared" si="8"/>
        <v>8664.2000000000007</v>
      </c>
      <c r="L245" s="36">
        <f t="shared" si="8"/>
        <v>0</v>
      </c>
      <c r="M245" s="36">
        <f t="shared" si="8"/>
        <v>0</v>
      </c>
      <c r="N245" s="36">
        <f t="shared" si="8"/>
        <v>0</v>
      </c>
      <c r="O245" s="36">
        <f t="shared" si="8"/>
        <v>0</v>
      </c>
      <c r="P245" s="36">
        <f t="shared" si="8"/>
        <v>0</v>
      </c>
      <c r="Q245" s="36">
        <f t="shared" si="8"/>
        <v>0</v>
      </c>
    </row>
    <row r="246" spans="1:17" x14ac:dyDescent="0.2">
      <c r="A246" s="10" t="s">
        <v>10</v>
      </c>
      <c r="B246" s="65" t="s">
        <v>11</v>
      </c>
      <c r="D246" s="37">
        <f t="shared" ref="D246" si="9">SUM(D245:D245)</f>
        <v>493</v>
      </c>
      <c r="E246" s="38">
        <f t="shared" ref="E246" si="10">SUM(E245:E245)</f>
        <v>59937</v>
      </c>
      <c r="F246" s="38">
        <f t="shared" ref="F246:Q246" si="11">SUM(F245:F245)</f>
        <v>322</v>
      </c>
      <c r="G246" s="38">
        <f t="shared" si="11"/>
        <v>21655.8</v>
      </c>
      <c r="H246" s="38">
        <f t="shared" si="11"/>
        <v>0</v>
      </c>
      <c r="I246" s="38">
        <f t="shared" si="11"/>
        <v>0</v>
      </c>
      <c r="J246" s="38">
        <f t="shared" si="11"/>
        <v>178</v>
      </c>
      <c r="K246" s="38">
        <f t="shared" si="11"/>
        <v>8664.2000000000007</v>
      </c>
      <c r="L246" s="38">
        <f t="shared" si="11"/>
        <v>0</v>
      </c>
      <c r="M246" s="38">
        <f t="shared" si="11"/>
        <v>0</v>
      </c>
      <c r="N246" s="38">
        <f t="shared" si="11"/>
        <v>0</v>
      </c>
      <c r="O246" s="38">
        <f t="shared" si="11"/>
        <v>0</v>
      </c>
      <c r="P246" s="38">
        <f t="shared" si="11"/>
        <v>0</v>
      </c>
      <c r="Q246" s="38">
        <f t="shared" si="11"/>
        <v>0</v>
      </c>
    </row>
    <row r="248" spans="1:17" x14ac:dyDescent="0.2">
      <c r="G248" s="82"/>
    </row>
    <row r="249" spans="1:17" x14ac:dyDescent="0.2">
      <c r="B249" t="s">
        <v>138</v>
      </c>
    </row>
    <row r="251" spans="1:17" x14ac:dyDescent="0.2">
      <c r="D251" s="103">
        <v>515</v>
      </c>
      <c r="E251" s="103">
        <v>60687</v>
      </c>
      <c r="F251" s="104">
        <v>336</v>
      </c>
      <c r="G251" s="104">
        <v>21892</v>
      </c>
      <c r="H251" s="105"/>
      <c r="I251" s="106"/>
      <c r="J251" s="104"/>
      <c r="K251" s="107"/>
    </row>
    <row r="252" spans="1:17" x14ac:dyDescent="0.2">
      <c r="D252" s="111">
        <f>D251-D246</f>
        <v>22</v>
      </c>
      <c r="E252" s="111">
        <f>E251-E246</f>
        <v>750</v>
      </c>
      <c r="F252" s="111">
        <f>F251-F246</f>
        <v>14</v>
      </c>
      <c r="G252" s="111">
        <f>G251-G246</f>
        <v>236.20000000000073</v>
      </c>
      <c r="H252" s="111"/>
      <c r="I252" s="111"/>
      <c r="J252" s="111"/>
      <c r="K252" s="111"/>
    </row>
    <row r="253" spans="1:17" x14ac:dyDescent="0.2">
      <c r="D253" s="108"/>
      <c r="E253" s="108"/>
      <c r="F253" s="108"/>
      <c r="G253" s="108"/>
      <c r="H253" s="109"/>
      <c r="I253" s="110"/>
      <c r="J253"/>
      <c r="K253" s="40"/>
    </row>
    <row r="254" spans="1:17" x14ac:dyDescent="0.2">
      <c r="D254" s="111"/>
      <c r="E254" s="112"/>
      <c r="F254" s="108"/>
      <c r="G254" s="108"/>
      <c r="H254" s="113"/>
      <c r="I254" s="114"/>
      <c r="J254"/>
      <c r="K254" s="25"/>
    </row>
    <row r="255" spans="1:17" x14ac:dyDescent="0.2">
      <c r="D255" s="111"/>
      <c r="E255" s="111"/>
      <c r="F255" s="111"/>
      <c r="G255" s="111"/>
      <c r="H255" s="113"/>
      <c r="I255" s="114"/>
      <c r="J255"/>
      <c r="K255" s="42"/>
    </row>
    <row r="256" spans="1:17" x14ac:dyDescent="0.2">
      <c r="D256" s="108"/>
      <c r="E256" s="108"/>
      <c r="F256" s="108"/>
      <c r="G256" s="108"/>
      <c r="H256" s="113"/>
      <c r="I256" s="114"/>
      <c r="J256"/>
      <c r="K256" s="27"/>
    </row>
    <row r="257" spans="4:11" x14ac:dyDescent="0.2">
      <c r="D257" s="108"/>
      <c r="E257" s="108"/>
      <c r="F257" s="108"/>
      <c r="G257" s="108"/>
      <c r="H257" s="113"/>
      <c r="I257" s="114"/>
      <c r="J257"/>
      <c r="K257" s="27"/>
    </row>
    <row r="258" spans="4:11" x14ac:dyDescent="0.2">
      <c r="D258" s="108"/>
      <c r="E258" s="108"/>
      <c r="F258" s="108"/>
      <c r="G258" s="108"/>
      <c r="H258" s="113"/>
      <c r="I258" s="114"/>
      <c r="J258"/>
      <c r="K258" s="27"/>
    </row>
    <row r="259" spans="4:11" x14ac:dyDescent="0.2">
      <c r="H259" s="43"/>
      <c r="I259" s="62"/>
      <c r="J259"/>
      <c r="K259" s="44"/>
    </row>
    <row r="260" spans="4:11" x14ac:dyDescent="0.2">
      <c r="H260" s="26"/>
      <c r="I260" s="45"/>
      <c r="J260" s="45"/>
      <c r="K260" s="27"/>
    </row>
    <row r="261" spans="4:11" x14ac:dyDescent="0.2">
      <c r="H261" s="26"/>
      <c r="I261" s="45"/>
      <c r="J261" s="45"/>
      <c r="K261" s="27"/>
    </row>
    <row r="262" spans="4:11" x14ac:dyDescent="0.2">
      <c r="H262" s="26"/>
      <c r="I262" s="45"/>
      <c r="J262" s="45"/>
      <c r="K262" s="27"/>
    </row>
    <row r="263" spans="4:11" x14ac:dyDescent="0.2">
      <c r="H263" s="26"/>
      <c r="I263" s="63"/>
      <c r="J263"/>
      <c r="K263" s="27"/>
    </row>
    <row r="264" spans="4:11" x14ac:dyDescent="0.2">
      <c r="H264" s="26"/>
      <c r="I264" s="63"/>
      <c r="J264"/>
      <c r="K264" s="27"/>
    </row>
  </sheetData>
  <autoFilter ref="C21:C246"/>
  <customSheetViews>
    <customSheetView guid="{511E85F2-317A-4F57-8889-9FAECC5DF910}" scale="85" showAutoFilter="1" hiddenRows="1">
      <pane ySplit="19" topLeftCell="A242" activePane="bottomLeft" state="frozen"/>
      <selection pane="bottomLeft" activeCell="D252" sqref="D252"/>
      <pageMargins left="0.75" right="0.75" top="1" bottom="1" header="0.5" footer="0.5"/>
      <pageSetup paperSize="9" scale="90" orientation="landscape" r:id="rId1"/>
      <headerFooter alignWithMargins="0"/>
      <autoFilter ref="C21:C246"/>
    </customSheetView>
    <customSheetView guid="{A743F9C7-8B89-4E8F-B91F-1FFB859064F2}" scale="85" showAutoFilter="1" hiddenRows="1">
      <pane ySplit="19" topLeftCell="A242" activePane="bottomLeft" state="frozen"/>
      <selection pane="bottomLeft" activeCell="D252" sqref="D252"/>
      <pageMargins left="0.75" right="0.75" top="1" bottom="1" header="0.5" footer="0.5"/>
      <pageSetup paperSize="9" scale="90" orientation="landscape" r:id="rId2"/>
      <headerFooter alignWithMargins="0"/>
      <autoFilter ref="C21:C246"/>
    </customSheetView>
  </customSheetViews>
  <pageMargins left="0.75" right="0.75" top="1" bottom="1" header="0.5" footer="0.5"/>
  <pageSetup paperSize="9" scale="90" orientation="landscape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1"/>
  <sheetViews>
    <sheetView zoomScale="85" zoomScaleNormal="85" workbookViewId="0">
      <pane ySplit="16" topLeftCell="A17" activePane="bottomLeft" state="frozen"/>
      <selection pane="bottomLeft" activeCell="D16" sqref="D16:E16"/>
    </sheetView>
  </sheetViews>
  <sheetFormatPr defaultRowHeight="12.75" x14ac:dyDescent="0.2"/>
  <cols>
    <col min="1" max="1" width="22.140625" customWidth="1"/>
    <col min="2" max="2" width="35.28515625" customWidth="1"/>
    <col min="3" max="3" width="26.140625" customWidth="1"/>
    <col min="4" max="4" width="13.28515625" style="30" customWidth="1"/>
    <col min="5" max="5" width="11.5703125" style="30" customWidth="1"/>
    <col min="6" max="6" width="11.140625" style="30" customWidth="1"/>
    <col min="7" max="7" width="11.7109375" style="30" customWidth="1"/>
    <col min="8" max="8" width="12" style="30" customWidth="1"/>
    <col min="9" max="9" width="11.140625" style="30" customWidth="1"/>
    <col min="10" max="10" width="16.140625" style="30" customWidth="1"/>
    <col min="11" max="11" width="12.85546875" style="30" customWidth="1"/>
    <col min="12" max="12" width="10.85546875" customWidth="1"/>
    <col min="13" max="14" width="11.5703125" customWidth="1"/>
    <col min="15" max="15" width="12" customWidth="1"/>
    <col min="16" max="16" width="13" customWidth="1"/>
    <col min="17" max="17" width="12.7109375" customWidth="1"/>
  </cols>
  <sheetData>
    <row r="1" spans="1:17" ht="16.5" customHeight="1" x14ac:dyDescent="0.25">
      <c r="I1" s="78"/>
      <c r="J1" s="78"/>
      <c r="K1" s="78"/>
      <c r="L1" s="78"/>
      <c r="M1" s="17"/>
      <c r="N1" s="17"/>
    </row>
    <row r="2" spans="1:17" ht="15.75" hidden="1" x14ac:dyDescent="0.25">
      <c r="B2" t="s">
        <v>0</v>
      </c>
      <c r="I2" s="78"/>
      <c r="J2" s="78"/>
      <c r="K2" s="78"/>
      <c r="L2" s="78"/>
      <c r="M2" s="17" t="s">
        <v>12</v>
      </c>
      <c r="N2" s="17"/>
      <c r="O2" s="17"/>
    </row>
    <row r="3" spans="1:17" ht="15.75" hidden="1" x14ac:dyDescent="0.25">
      <c r="I3" s="78"/>
      <c r="J3" s="78"/>
      <c r="K3" s="78"/>
      <c r="L3" s="78"/>
      <c r="M3" s="17" t="s">
        <v>13</v>
      </c>
      <c r="N3" s="17"/>
      <c r="O3" s="17"/>
    </row>
    <row r="4" spans="1:17" ht="15.75" hidden="1" x14ac:dyDescent="0.25">
      <c r="I4" s="32"/>
      <c r="J4" s="32"/>
      <c r="K4" s="32"/>
      <c r="L4" s="78"/>
      <c r="M4" s="17" t="s">
        <v>14</v>
      </c>
      <c r="N4" s="17"/>
      <c r="O4" s="17"/>
    </row>
    <row r="5" spans="1:17" ht="15.75" hidden="1" x14ac:dyDescent="0.25">
      <c r="I5" s="78"/>
      <c r="J5" s="78"/>
      <c r="K5" s="78"/>
      <c r="L5" s="78"/>
      <c r="M5" s="17" t="s">
        <v>15</v>
      </c>
      <c r="N5" s="17"/>
      <c r="O5" s="17"/>
    </row>
    <row r="6" spans="1:17" ht="15.75" hidden="1" x14ac:dyDescent="0.25">
      <c r="I6" s="78"/>
      <c r="J6" s="78"/>
      <c r="K6" s="78"/>
      <c r="L6" s="78"/>
      <c r="O6" s="17"/>
    </row>
    <row r="7" spans="1:17" ht="15.75" hidden="1" x14ac:dyDescent="0.25">
      <c r="I7" s="78"/>
      <c r="J7" s="78"/>
      <c r="K7" s="78"/>
      <c r="L7" s="78"/>
    </row>
    <row r="8" spans="1:17" ht="15.75" hidden="1" x14ac:dyDescent="0.25">
      <c r="I8" s="32"/>
      <c r="J8" s="32"/>
      <c r="K8" s="32"/>
    </row>
    <row r="9" spans="1:17" ht="12.75" hidden="1" customHeight="1" x14ac:dyDescent="0.2"/>
    <row r="10" spans="1:17" ht="12.75" hidden="1" customHeight="1" x14ac:dyDescent="0.25"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1:17" ht="15.75" hidden="1" x14ac:dyDescent="0.25"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7" ht="15.75" hidden="1" x14ac:dyDescent="0.25">
      <c r="B12" s="74"/>
      <c r="C12" s="74"/>
      <c r="D12" s="33"/>
      <c r="E12" s="33"/>
      <c r="F12" s="33"/>
      <c r="G12" s="33"/>
      <c r="H12" s="33"/>
      <c r="I12" s="33"/>
      <c r="J12" s="33"/>
      <c r="K12" s="34"/>
      <c r="L12" s="13"/>
      <c r="M12" s="13"/>
    </row>
    <row r="13" spans="1:17" ht="13.5" thickBot="1" x14ac:dyDescent="0.25"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</row>
    <row r="14" spans="1:17" ht="16.5" thickBot="1" x14ac:dyDescent="0.3">
      <c r="B14" s="117" t="s">
        <v>364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1"/>
    </row>
    <row r="15" spans="1:17" ht="13.5" thickBot="1" x14ac:dyDescent="0.25"/>
    <row r="16" spans="1:17" ht="127.5" customHeight="1" thickTop="1" thickBot="1" x14ac:dyDescent="0.25">
      <c r="A16" s="2" t="s">
        <v>1</v>
      </c>
      <c r="B16" s="2" t="s">
        <v>2</v>
      </c>
      <c r="C16" s="3" t="s">
        <v>3</v>
      </c>
      <c r="D16" s="76" t="s">
        <v>17</v>
      </c>
      <c r="E16" s="76"/>
      <c r="F16" s="76" t="s">
        <v>4</v>
      </c>
      <c r="G16" s="81"/>
      <c r="H16" s="77" t="s">
        <v>5</v>
      </c>
      <c r="I16" s="68"/>
      <c r="J16" s="99" t="s">
        <v>6</v>
      </c>
      <c r="K16" s="68"/>
      <c r="L16" s="98" t="s">
        <v>18</v>
      </c>
      <c r="M16" s="68"/>
      <c r="N16" s="67" t="s">
        <v>19</v>
      </c>
      <c r="O16" s="68"/>
      <c r="P16" s="67" t="s">
        <v>20</v>
      </c>
      <c r="Q16" s="68"/>
    </row>
    <row r="17" spans="1:17" ht="13.5" thickTop="1" x14ac:dyDescent="0.2">
      <c r="A17" s="4">
        <v>1</v>
      </c>
      <c r="B17" s="5">
        <v>2</v>
      </c>
      <c r="C17" s="6">
        <v>3</v>
      </c>
      <c r="D17" s="69">
        <v>4</v>
      </c>
      <c r="E17" s="80"/>
      <c r="F17" s="70">
        <v>5</v>
      </c>
      <c r="G17" s="73"/>
      <c r="H17" s="71">
        <v>6</v>
      </c>
      <c r="I17" s="73"/>
      <c r="J17" s="71">
        <v>7</v>
      </c>
      <c r="K17" s="73"/>
      <c r="L17" s="72">
        <v>8</v>
      </c>
      <c r="M17" s="73"/>
      <c r="N17" s="72">
        <v>9</v>
      </c>
      <c r="O17" s="73"/>
      <c r="P17" s="72">
        <v>10</v>
      </c>
      <c r="Q17" s="73"/>
    </row>
    <row r="18" spans="1:17" ht="12.75" customHeight="1" x14ac:dyDescent="0.2">
      <c r="A18" s="7"/>
      <c r="B18" s="7"/>
      <c r="C18" s="7"/>
      <c r="D18" s="63" t="s">
        <v>7</v>
      </c>
      <c r="E18" s="63" t="s">
        <v>8</v>
      </c>
      <c r="F18" s="63" t="s">
        <v>7</v>
      </c>
      <c r="G18" s="63" t="s">
        <v>8</v>
      </c>
      <c r="H18" s="63" t="s">
        <v>7</v>
      </c>
      <c r="I18" s="63" t="s">
        <v>8</v>
      </c>
      <c r="J18" s="63" t="s">
        <v>7</v>
      </c>
      <c r="K18" s="63" t="s">
        <v>8</v>
      </c>
      <c r="L18" s="8" t="s">
        <v>7</v>
      </c>
      <c r="M18" s="8" t="s">
        <v>9</v>
      </c>
      <c r="N18" s="8" t="s">
        <v>7</v>
      </c>
      <c r="O18" s="8" t="s">
        <v>9</v>
      </c>
      <c r="P18" s="8" t="s">
        <v>7</v>
      </c>
      <c r="Q18" s="8" t="s">
        <v>9</v>
      </c>
    </row>
    <row r="19" spans="1:17" ht="28.5" customHeight="1" x14ac:dyDescent="0.25">
      <c r="A19" s="28" t="s">
        <v>136</v>
      </c>
      <c r="B19" s="28" t="s">
        <v>360</v>
      </c>
      <c r="C19" s="66" t="s">
        <v>146</v>
      </c>
      <c r="D19" s="79"/>
      <c r="E19" s="63"/>
      <c r="F19" s="63"/>
      <c r="G19" s="63"/>
      <c r="H19" s="63"/>
      <c r="I19" s="63"/>
      <c r="J19" s="63"/>
      <c r="K19" s="63"/>
      <c r="L19" s="8"/>
      <c r="M19" s="8"/>
      <c r="N19" s="8"/>
      <c r="O19" s="8"/>
      <c r="P19" s="8"/>
      <c r="Q19" s="8"/>
    </row>
    <row r="20" spans="1:17" ht="12" customHeight="1" x14ac:dyDescent="0.25">
      <c r="A20" s="18"/>
      <c r="B20" s="18"/>
      <c r="C20" s="18" t="s">
        <v>306</v>
      </c>
      <c r="D20" s="31">
        <v>0</v>
      </c>
      <c r="E20" s="31">
        <v>0</v>
      </c>
      <c r="F20" s="31">
        <v>0</v>
      </c>
      <c r="G20" s="31">
        <v>0</v>
      </c>
      <c r="H20" s="87">
        <v>0</v>
      </c>
      <c r="I20" s="24"/>
      <c r="J20" s="31"/>
      <c r="K20" s="31"/>
      <c r="L20" s="8"/>
      <c r="M20" s="8"/>
      <c r="N20" s="8"/>
      <c r="O20" s="8"/>
      <c r="P20" s="8"/>
      <c r="Q20" s="8"/>
    </row>
    <row r="21" spans="1:17" ht="12" customHeight="1" x14ac:dyDescent="0.25">
      <c r="A21" s="18"/>
      <c r="B21" s="18"/>
      <c r="C21" s="18" t="s">
        <v>307</v>
      </c>
      <c r="D21" s="31">
        <v>0</v>
      </c>
      <c r="E21" s="31">
        <v>0</v>
      </c>
      <c r="F21" s="31">
        <v>0</v>
      </c>
      <c r="G21" s="31">
        <v>0</v>
      </c>
      <c r="H21" s="87">
        <v>0</v>
      </c>
      <c r="I21" s="24"/>
      <c r="J21" s="31">
        <v>31</v>
      </c>
      <c r="K21" s="31">
        <v>260</v>
      </c>
      <c r="L21" s="8"/>
      <c r="M21" s="8"/>
      <c r="N21" s="8"/>
      <c r="O21" s="8"/>
      <c r="P21" s="8"/>
      <c r="Q21" s="8"/>
    </row>
    <row r="22" spans="1:17" ht="11.25" customHeight="1" x14ac:dyDescent="0.25">
      <c r="A22" s="18"/>
      <c r="B22" s="18"/>
      <c r="C22" s="18" t="s">
        <v>308</v>
      </c>
      <c r="D22" s="31">
        <v>1</v>
      </c>
      <c r="E22" s="31">
        <v>250</v>
      </c>
      <c r="F22" s="31">
        <v>0</v>
      </c>
      <c r="G22" s="31">
        <v>0</v>
      </c>
      <c r="H22" s="87">
        <v>0</v>
      </c>
      <c r="I22" s="24"/>
      <c r="J22" s="31"/>
      <c r="K22" s="31"/>
      <c r="L22" s="8"/>
      <c r="M22" s="8"/>
      <c r="N22" s="8"/>
      <c r="O22" s="8"/>
      <c r="P22" s="8"/>
      <c r="Q22" s="8"/>
    </row>
    <row r="23" spans="1:17" ht="11.25" customHeight="1" x14ac:dyDescent="0.25">
      <c r="A23" s="18"/>
      <c r="B23" s="18"/>
      <c r="C23" s="18" t="s">
        <v>309</v>
      </c>
      <c r="D23" s="31">
        <v>1</v>
      </c>
      <c r="E23" s="31">
        <v>100</v>
      </c>
      <c r="F23" s="31">
        <v>0</v>
      </c>
      <c r="G23" s="31">
        <v>0</v>
      </c>
      <c r="H23" s="87">
        <v>0</v>
      </c>
      <c r="I23" s="24"/>
      <c r="J23" s="31"/>
      <c r="K23" s="31"/>
      <c r="L23" s="8"/>
      <c r="M23" s="8"/>
      <c r="N23" s="8"/>
      <c r="O23" s="8"/>
      <c r="P23" s="8"/>
      <c r="Q23" s="8"/>
    </row>
    <row r="24" spans="1:17" ht="12.75" customHeight="1" x14ac:dyDescent="0.25">
      <c r="A24" s="18"/>
      <c r="B24" s="18"/>
      <c r="C24" s="18" t="s">
        <v>310</v>
      </c>
      <c r="D24" s="31">
        <v>0</v>
      </c>
      <c r="E24" s="31">
        <v>0</v>
      </c>
      <c r="F24" s="31">
        <v>0</v>
      </c>
      <c r="G24" s="31">
        <v>0</v>
      </c>
      <c r="H24" s="87">
        <v>0</v>
      </c>
      <c r="I24" s="24"/>
      <c r="J24" s="31"/>
      <c r="K24" s="31"/>
      <c r="L24" s="8"/>
      <c r="M24" s="8"/>
      <c r="N24" s="8"/>
      <c r="O24" s="8"/>
      <c r="P24" s="8"/>
      <c r="Q24" s="8"/>
    </row>
    <row r="25" spans="1:17" ht="11.25" customHeight="1" x14ac:dyDescent="0.25">
      <c r="A25" s="18"/>
      <c r="B25" s="18"/>
      <c r="C25" s="18" t="s">
        <v>311</v>
      </c>
      <c r="D25" s="31">
        <v>0</v>
      </c>
      <c r="E25" s="31">
        <v>0</v>
      </c>
      <c r="F25" s="31">
        <v>0</v>
      </c>
      <c r="G25" s="31">
        <v>0</v>
      </c>
      <c r="H25" s="87">
        <v>0</v>
      </c>
      <c r="I25" s="24"/>
      <c r="J25" s="31">
        <v>50</v>
      </c>
      <c r="K25" s="31">
        <v>390</v>
      </c>
      <c r="L25" s="8"/>
      <c r="M25" s="8"/>
      <c r="N25" s="8"/>
      <c r="O25" s="8"/>
      <c r="P25" s="8"/>
      <c r="Q25" s="8"/>
    </row>
    <row r="26" spans="1:17" ht="16.5" customHeight="1" x14ac:dyDescent="0.25">
      <c r="A26" s="18"/>
      <c r="B26" s="18"/>
      <c r="C26" s="18" t="s">
        <v>312</v>
      </c>
      <c r="D26" s="63">
        <v>0</v>
      </c>
      <c r="E26" s="96">
        <v>0</v>
      </c>
      <c r="F26" s="96">
        <v>0</v>
      </c>
      <c r="G26" s="96">
        <v>0</v>
      </c>
      <c r="H26" s="87">
        <v>0</v>
      </c>
      <c r="I26" s="63"/>
      <c r="J26" s="63"/>
      <c r="K26" s="63"/>
      <c r="L26" s="8"/>
      <c r="M26" s="8"/>
      <c r="N26" s="8"/>
      <c r="O26" s="8"/>
      <c r="P26" s="8"/>
      <c r="Q26" s="8"/>
    </row>
    <row r="27" spans="1:17" ht="12" customHeight="1" x14ac:dyDescent="0.25">
      <c r="A27" s="18"/>
      <c r="B27" s="18"/>
      <c r="C27" s="18" t="s">
        <v>313</v>
      </c>
      <c r="D27" s="31">
        <v>4</v>
      </c>
      <c r="E27" s="31">
        <f>15+10+50+7</f>
        <v>82</v>
      </c>
      <c r="F27" s="31">
        <v>4</v>
      </c>
      <c r="G27" s="31">
        <v>82</v>
      </c>
      <c r="H27" s="87">
        <v>0</v>
      </c>
      <c r="I27" s="24"/>
      <c r="J27" s="31">
        <v>41</v>
      </c>
      <c r="K27" s="31">
        <v>302</v>
      </c>
      <c r="L27" s="8"/>
      <c r="M27" s="8"/>
      <c r="N27" s="8"/>
      <c r="O27" s="8"/>
      <c r="P27" s="8"/>
      <c r="Q27" s="8"/>
    </row>
    <row r="28" spans="1:17" ht="12.75" customHeight="1" x14ac:dyDescent="0.25">
      <c r="A28" s="18"/>
      <c r="B28" s="18"/>
      <c r="C28" s="18" t="s">
        <v>314</v>
      </c>
      <c r="D28" s="31">
        <v>1</v>
      </c>
      <c r="E28" s="31">
        <v>4</v>
      </c>
      <c r="F28" s="31">
        <v>1</v>
      </c>
      <c r="G28" s="31">
        <v>4</v>
      </c>
      <c r="H28" s="87">
        <v>0</v>
      </c>
      <c r="I28" s="24"/>
      <c r="J28" s="31">
        <v>37</v>
      </c>
      <c r="K28" s="31">
        <v>267</v>
      </c>
      <c r="L28" s="8"/>
      <c r="M28" s="8"/>
      <c r="N28" s="8"/>
      <c r="O28" s="8"/>
      <c r="P28" s="8"/>
      <c r="Q28" s="8"/>
    </row>
    <row r="29" spans="1:17" ht="12.75" customHeight="1" x14ac:dyDescent="0.25">
      <c r="A29" s="18"/>
      <c r="B29" s="18"/>
      <c r="C29" s="18" t="s">
        <v>315</v>
      </c>
      <c r="D29" s="31">
        <v>25</v>
      </c>
      <c r="E29" s="31">
        <v>190</v>
      </c>
      <c r="F29" s="31">
        <v>25</v>
      </c>
      <c r="G29" s="31">
        <v>190</v>
      </c>
      <c r="H29" s="87">
        <v>0</v>
      </c>
      <c r="I29" s="24"/>
      <c r="J29" s="31">
        <v>39</v>
      </c>
      <c r="K29" s="31">
        <v>280</v>
      </c>
      <c r="L29" s="8"/>
      <c r="M29" s="8"/>
      <c r="N29" s="8"/>
      <c r="O29" s="8"/>
      <c r="P29" s="8"/>
      <c r="Q29" s="8"/>
    </row>
    <row r="30" spans="1:17" ht="12.75" customHeight="1" x14ac:dyDescent="0.25">
      <c r="A30" s="18"/>
      <c r="B30" s="18"/>
      <c r="C30" s="18" t="s">
        <v>316</v>
      </c>
      <c r="D30" s="31">
        <v>9</v>
      </c>
      <c r="E30" s="31">
        <f>8+8+8+6+15+15+15+1.1+15</f>
        <v>91.1</v>
      </c>
      <c r="F30" s="31">
        <v>9</v>
      </c>
      <c r="G30" s="31">
        <v>91.1</v>
      </c>
      <c r="H30" s="87">
        <v>0</v>
      </c>
      <c r="I30" s="24"/>
      <c r="J30" s="31">
        <v>41</v>
      </c>
      <c r="K30" s="31">
        <v>320</v>
      </c>
      <c r="L30" s="8"/>
      <c r="M30" s="8"/>
      <c r="N30" s="8"/>
      <c r="O30" s="8"/>
      <c r="P30" s="8"/>
      <c r="Q30" s="8"/>
    </row>
    <row r="31" spans="1:17" ht="12.75" customHeight="1" x14ac:dyDescent="0.25">
      <c r="A31" s="18"/>
      <c r="B31" s="18"/>
      <c r="C31" s="18" t="s">
        <v>317</v>
      </c>
      <c r="D31" s="31">
        <v>10</v>
      </c>
      <c r="E31" s="31">
        <f>12+30+10+5+15+40+7+10+10+15</f>
        <v>154</v>
      </c>
      <c r="F31" s="31">
        <v>10</v>
      </c>
      <c r="G31" s="31">
        <v>154</v>
      </c>
      <c r="H31" s="87">
        <v>0</v>
      </c>
      <c r="I31" s="24"/>
      <c r="J31" s="31">
        <v>16</v>
      </c>
      <c r="K31" s="31">
        <v>120</v>
      </c>
      <c r="L31" s="8"/>
      <c r="M31" s="8"/>
      <c r="N31" s="8"/>
      <c r="O31" s="8"/>
      <c r="P31" s="8"/>
      <c r="Q31" s="8"/>
    </row>
    <row r="32" spans="1:17" ht="12.75" customHeight="1" x14ac:dyDescent="0.25">
      <c r="A32" s="18"/>
      <c r="B32" s="18"/>
      <c r="C32" s="18" t="s">
        <v>318</v>
      </c>
      <c r="D32" s="31">
        <v>10</v>
      </c>
      <c r="E32" s="31">
        <v>110</v>
      </c>
      <c r="F32" s="31">
        <v>10</v>
      </c>
      <c r="G32" s="31">
        <v>110</v>
      </c>
      <c r="H32" s="87">
        <v>0</v>
      </c>
      <c r="I32" s="24"/>
      <c r="J32" s="31">
        <v>18</v>
      </c>
      <c r="K32" s="31">
        <v>136</v>
      </c>
      <c r="L32" s="8"/>
      <c r="M32" s="8"/>
      <c r="N32" s="8"/>
      <c r="O32" s="8"/>
      <c r="P32" s="8"/>
      <c r="Q32" s="8"/>
    </row>
    <row r="33" spans="1:17" ht="12.75" customHeight="1" x14ac:dyDescent="0.25">
      <c r="A33" s="18"/>
      <c r="B33" s="18"/>
      <c r="C33" s="18" t="s">
        <v>319</v>
      </c>
      <c r="D33" s="63">
        <v>50</v>
      </c>
      <c r="E33" s="63">
        <v>460</v>
      </c>
      <c r="F33" s="95">
        <v>37</v>
      </c>
      <c r="G33" s="95">
        <v>340.5</v>
      </c>
      <c r="H33" s="87">
        <v>0</v>
      </c>
      <c r="I33" s="63"/>
      <c r="J33" s="63">
        <v>35</v>
      </c>
      <c r="K33" s="63">
        <v>298</v>
      </c>
      <c r="L33" s="8"/>
      <c r="M33" s="8"/>
      <c r="N33" s="8"/>
      <c r="O33" s="8"/>
      <c r="P33" s="8"/>
      <c r="Q33" s="8"/>
    </row>
    <row r="34" spans="1:17" ht="12.75" customHeight="1" x14ac:dyDescent="0.25">
      <c r="A34" s="18"/>
      <c r="B34" s="18"/>
      <c r="C34" s="18" t="s">
        <v>320</v>
      </c>
      <c r="D34" s="31">
        <v>7</v>
      </c>
      <c r="E34" s="31">
        <f>5+15+3+8+5+3+5</f>
        <v>44</v>
      </c>
      <c r="F34" s="31">
        <v>7</v>
      </c>
      <c r="G34" s="31">
        <f>5+15+3+8+5+3+5</f>
        <v>44</v>
      </c>
      <c r="H34" s="87">
        <v>0</v>
      </c>
      <c r="I34" s="24"/>
      <c r="J34" s="31">
        <v>2</v>
      </c>
      <c r="K34" s="31">
        <v>14</v>
      </c>
      <c r="L34" s="8"/>
      <c r="M34" s="8"/>
      <c r="N34" s="8"/>
      <c r="O34" s="8"/>
      <c r="P34" s="8"/>
      <c r="Q34" s="8"/>
    </row>
    <row r="35" spans="1:17" ht="12.75" customHeight="1" x14ac:dyDescent="0.25">
      <c r="A35" s="18"/>
      <c r="B35" s="18"/>
      <c r="C35" s="18" t="s">
        <v>321</v>
      </c>
      <c r="D35" s="31">
        <v>21</v>
      </c>
      <c r="E35" s="31">
        <v>245</v>
      </c>
      <c r="F35" s="31">
        <v>9</v>
      </c>
      <c r="G35" s="31">
        <v>70</v>
      </c>
      <c r="H35" s="87">
        <v>0</v>
      </c>
      <c r="I35" s="24"/>
      <c r="J35" s="31">
        <v>36</v>
      </c>
      <c r="K35" s="31">
        <v>320</v>
      </c>
      <c r="L35" s="8"/>
      <c r="M35" s="8"/>
      <c r="N35" s="8"/>
      <c r="O35" s="8"/>
      <c r="P35" s="8"/>
      <c r="Q35" s="8"/>
    </row>
    <row r="36" spans="1:17" ht="12.75" customHeight="1" x14ac:dyDescent="0.25">
      <c r="A36" s="18"/>
      <c r="B36" s="18"/>
      <c r="C36" s="18" t="s">
        <v>322</v>
      </c>
      <c r="D36" s="31">
        <v>100</v>
      </c>
      <c r="E36" s="31">
        <v>680</v>
      </c>
      <c r="F36" s="31">
        <v>79</v>
      </c>
      <c r="G36" s="31">
        <v>450</v>
      </c>
      <c r="H36" s="87">
        <v>0</v>
      </c>
      <c r="I36" s="24"/>
      <c r="J36" s="31">
        <v>54</v>
      </c>
      <c r="K36" s="31">
        <v>490</v>
      </c>
      <c r="L36" s="8"/>
      <c r="M36" s="8"/>
      <c r="N36" s="8"/>
      <c r="O36" s="8"/>
      <c r="P36" s="8"/>
      <c r="Q36" s="8"/>
    </row>
    <row r="37" spans="1:17" ht="12.75" customHeight="1" x14ac:dyDescent="0.25">
      <c r="A37" s="18"/>
      <c r="B37" s="18"/>
      <c r="C37" s="18" t="s">
        <v>323</v>
      </c>
      <c r="D37" s="31">
        <v>68</v>
      </c>
      <c r="E37" s="31">
        <f>10+10+15+6+2+4+3+2+2.5+3+5+10+15+15+3+15+15+15</f>
        <v>150.5</v>
      </c>
      <c r="F37" s="31">
        <v>27</v>
      </c>
      <c r="G37" s="31">
        <v>97</v>
      </c>
      <c r="H37" s="87">
        <v>0</v>
      </c>
      <c r="I37" s="24"/>
      <c r="J37" s="31">
        <v>62</v>
      </c>
      <c r="K37" s="31">
        <v>610</v>
      </c>
      <c r="L37" s="8"/>
      <c r="M37" s="8"/>
      <c r="N37" s="8"/>
      <c r="O37" s="8"/>
      <c r="P37" s="8"/>
      <c r="Q37" s="8"/>
    </row>
    <row r="38" spans="1:17" ht="12.75" customHeight="1" x14ac:dyDescent="0.25">
      <c r="A38" s="18"/>
      <c r="B38" s="18"/>
      <c r="C38" s="18" t="s">
        <v>324</v>
      </c>
      <c r="D38" s="31">
        <v>29</v>
      </c>
      <c r="E38" s="31">
        <f>7+12+15+13+13+12+7+5+35+15+2.2+8+10+14+5+9+15+14+15</f>
        <v>226.2</v>
      </c>
      <c r="F38" s="31">
        <v>19</v>
      </c>
      <c r="G38" s="31">
        <v>59</v>
      </c>
      <c r="H38" s="87">
        <v>0</v>
      </c>
      <c r="I38" s="24"/>
      <c r="J38" s="31">
        <v>12</v>
      </c>
      <c r="K38" s="31">
        <v>120</v>
      </c>
      <c r="L38" s="8"/>
      <c r="M38" s="8"/>
      <c r="N38" s="8"/>
      <c r="O38" s="8"/>
      <c r="P38" s="8"/>
      <c r="Q38" s="8"/>
    </row>
    <row r="39" spans="1:17" ht="12.75" customHeight="1" x14ac:dyDescent="0.25">
      <c r="A39" s="18"/>
      <c r="B39" s="18"/>
      <c r="C39" s="18" t="s">
        <v>325</v>
      </c>
      <c r="D39" s="94">
        <v>20</v>
      </c>
      <c r="E39" s="94">
        <f>10+10+15+8+15+10+15+8+15+7</f>
        <v>113</v>
      </c>
      <c r="F39" s="31">
        <v>10</v>
      </c>
      <c r="G39" s="31">
        <v>55</v>
      </c>
      <c r="H39" s="87">
        <v>0</v>
      </c>
      <c r="I39" s="24"/>
      <c r="J39" s="31">
        <v>15</v>
      </c>
      <c r="K39" s="31">
        <v>141</v>
      </c>
      <c r="L39" s="8"/>
      <c r="M39" s="8"/>
      <c r="N39" s="8"/>
      <c r="O39" s="8"/>
      <c r="P39" s="8"/>
      <c r="Q39" s="8"/>
    </row>
    <row r="40" spans="1:17" ht="12.75" customHeight="1" x14ac:dyDescent="0.25">
      <c r="A40" s="18"/>
      <c r="B40" s="18"/>
      <c r="C40" s="18" t="s">
        <v>326</v>
      </c>
      <c r="D40" s="31">
        <v>16</v>
      </c>
      <c r="E40" s="31">
        <f>10+10+5+11+10+120</f>
        <v>166</v>
      </c>
      <c r="F40" s="31">
        <v>9</v>
      </c>
      <c r="G40" s="31">
        <v>66</v>
      </c>
      <c r="H40" s="87">
        <v>0</v>
      </c>
      <c r="I40" s="24"/>
      <c r="J40" s="31">
        <v>18</v>
      </c>
      <c r="K40" s="31">
        <v>100</v>
      </c>
      <c r="L40" s="8"/>
      <c r="M40" s="8"/>
      <c r="N40" s="8"/>
      <c r="O40" s="8"/>
      <c r="P40" s="8"/>
      <c r="Q40" s="8"/>
    </row>
    <row r="41" spans="1:17" ht="12.75" customHeight="1" x14ac:dyDescent="0.25">
      <c r="A41" s="18"/>
      <c r="B41" s="18"/>
      <c r="C41" s="18" t="s">
        <v>327</v>
      </c>
      <c r="D41" s="31"/>
      <c r="E41" s="31"/>
      <c r="F41" s="31"/>
      <c r="G41" s="31"/>
      <c r="H41" s="87">
        <v>0</v>
      </c>
      <c r="I41" s="24"/>
      <c r="J41" s="31"/>
      <c r="K41" s="31"/>
      <c r="L41" s="8"/>
      <c r="M41" s="8"/>
      <c r="N41" s="8"/>
      <c r="O41" s="8"/>
      <c r="P41" s="8"/>
      <c r="Q41" s="8"/>
    </row>
    <row r="42" spans="1:17" ht="12.75" customHeight="1" x14ac:dyDescent="0.25">
      <c r="A42" s="18"/>
      <c r="B42" s="18"/>
      <c r="C42" s="18" t="s">
        <v>328</v>
      </c>
      <c r="D42" s="31">
        <v>5</v>
      </c>
      <c r="E42" s="31">
        <f>12+6+12+15+12</f>
        <v>57</v>
      </c>
      <c r="F42" s="31">
        <v>5</v>
      </c>
      <c r="G42" s="31">
        <v>57</v>
      </c>
      <c r="H42" s="87">
        <v>0</v>
      </c>
      <c r="I42" s="24"/>
      <c r="J42" s="31">
        <v>3</v>
      </c>
      <c r="K42" s="31">
        <v>12</v>
      </c>
      <c r="L42" s="8"/>
      <c r="M42" s="8"/>
      <c r="N42" s="8"/>
      <c r="O42" s="8"/>
      <c r="P42" s="8"/>
      <c r="Q42" s="8"/>
    </row>
    <row r="43" spans="1:17" ht="12.75" customHeight="1" x14ac:dyDescent="0.25">
      <c r="A43" s="18"/>
      <c r="B43" s="18"/>
      <c r="C43" s="18" t="s">
        <v>329</v>
      </c>
      <c r="D43" s="31">
        <v>5</v>
      </c>
      <c r="E43" s="31">
        <v>35</v>
      </c>
      <c r="F43" s="31">
        <v>5</v>
      </c>
      <c r="G43" s="31">
        <v>35</v>
      </c>
      <c r="H43" s="87">
        <v>0</v>
      </c>
      <c r="I43" s="24"/>
      <c r="J43" s="31">
        <v>19</v>
      </c>
      <c r="K43" s="31">
        <v>175</v>
      </c>
      <c r="L43" s="8"/>
      <c r="M43" s="8"/>
      <c r="N43" s="8"/>
      <c r="O43" s="8"/>
      <c r="P43" s="8"/>
      <c r="Q43" s="8"/>
    </row>
    <row r="44" spans="1:17" ht="12.75" customHeight="1" x14ac:dyDescent="0.25">
      <c r="A44" s="18"/>
      <c r="B44" s="18"/>
      <c r="C44" s="18" t="s">
        <v>330</v>
      </c>
      <c r="D44" s="31"/>
      <c r="E44" s="31"/>
      <c r="F44" s="31"/>
      <c r="G44" s="31"/>
      <c r="H44" s="87">
        <v>0</v>
      </c>
      <c r="I44" s="24"/>
      <c r="J44" s="31"/>
      <c r="K44" s="31"/>
      <c r="L44" s="8"/>
      <c r="M44" s="8"/>
      <c r="N44" s="8"/>
      <c r="O44" s="8"/>
      <c r="P44" s="8"/>
      <c r="Q44" s="8"/>
    </row>
    <row r="45" spans="1:17" ht="12.75" customHeight="1" x14ac:dyDescent="0.25">
      <c r="A45" s="18"/>
      <c r="B45" s="18"/>
      <c r="C45" s="18" t="s">
        <v>331</v>
      </c>
      <c r="D45" s="31">
        <v>28</v>
      </c>
      <c r="E45" s="31">
        <v>300</v>
      </c>
      <c r="F45" s="31">
        <v>22</v>
      </c>
      <c r="G45" s="31">
        <v>200</v>
      </c>
      <c r="H45" s="87">
        <v>0</v>
      </c>
      <c r="I45" s="24"/>
      <c r="J45" s="31">
        <v>26</v>
      </c>
      <c r="K45" s="31">
        <v>221</v>
      </c>
      <c r="L45" s="8"/>
      <c r="M45" s="8"/>
      <c r="N45" s="8"/>
      <c r="O45" s="8"/>
      <c r="P45" s="8"/>
      <c r="Q45" s="8"/>
    </row>
    <row r="46" spans="1:17" ht="12.75" customHeight="1" x14ac:dyDescent="0.25">
      <c r="A46" s="18"/>
      <c r="B46" s="18"/>
      <c r="C46" s="18" t="s">
        <v>332</v>
      </c>
      <c r="D46" s="63">
        <v>1</v>
      </c>
      <c r="E46" s="63">
        <v>1.1000000000000001</v>
      </c>
      <c r="F46" s="63">
        <v>1</v>
      </c>
      <c r="G46" s="63">
        <v>1.1000000000000001</v>
      </c>
      <c r="H46" s="87">
        <v>0</v>
      </c>
      <c r="I46" s="63"/>
      <c r="J46" s="63"/>
      <c r="K46" s="63"/>
      <c r="L46" s="8"/>
      <c r="M46" s="8"/>
      <c r="N46" s="8"/>
      <c r="O46" s="8"/>
      <c r="P46" s="8"/>
      <c r="Q46" s="8"/>
    </row>
    <row r="47" spans="1:17" ht="12.75" customHeight="1" x14ac:dyDescent="0.25">
      <c r="A47" s="18"/>
      <c r="B47" s="18"/>
      <c r="C47" s="18" t="s">
        <v>333</v>
      </c>
      <c r="D47" s="31"/>
      <c r="E47" s="31"/>
      <c r="F47" s="31"/>
      <c r="G47" s="31"/>
      <c r="H47" s="87">
        <v>0</v>
      </c>
      <c r="I47" s="24"/>
      <c r="J47" s="31"/>
      <c r="K47" s="31"/>
      <c r="L47" s="8"/>
      <c r="M47" s="8"/>
      <c r="N47" s="8"/>
      <c r="O47" s="8"/>
      <c r="P47" s="8"/>
      <c r="Q47" s="8"/>
    </row>
    <row r="48" spans="1:17" ht="12.75" customHeight="1" x14ac:dyDescent="0.25">
      <c r="A48" s="18"/>
      <c r="B48" s="18"/>
      <c r="C48" s="18" t="s">
        <v>334</v>
      </c>
      <c r="D48" s="31">
        <v>5</v>
      </c>
      <c r="E48" s="31">
        <v>45</v>
      </c>
      <c r="F48" s="31">
        <v>5</v>
      </c>
      <c r="G48" s="31">
        <v>45</v>
      </c>
      <c r="H48" s="87">
        <v>0</v>
      </c>
      <c r="I48" s="24"/>
      <c r="J48" s="31">
        <v>42</v>
      </c>
      <c r="K48" s="31">
        <v>302</v>
      </c>
      <c r="L48" s="8"/>
      <c r="M48" s="8"/>
      <c r="N48" s="8"/>
      <c r="O48" s="8"/>
      <c r="P48" s="8"/>
      <c r="Q48" s="8"/>
    </row>
    <row r="49" spans="1:17" ht="12.75" customHeight="1" x14ac:dyDescent="0.25">
      <c r="A49" s="18"/>
      <c r="B49" s="18"/>
      <c r="C49" s="18" t="s">
        <v>335</v>
      </c>
      <c r="D49" s="31"/>
      <c r="E49" s="31"/>
      <c r="F49" s="31"/>
      <c r="G49" s="31"/>
      <c r="H49" s="87">
        <v>0</v>
      </c>
      <c r="I49" s="24"/>
      <c r="J49" s="31"/>
      <c r="K49" s="31"/>
      <c r="L49" s="8"/>
      <c r="M49" s="8"/>
      <c r="N49" s="8"/>
      <c r="O49" s="8"/>
      <c r="P49" s="8"/>
      <c r="Q49" s="8"/>
    </row>
    <row r="50" spans="1:17" ht="12.75" customHeight="1" x14ac:dyDescent="0.25">
      <c r="A50" s="18"/>
      <c r="B50" s="18"/>
      <c r="C50" s="18" t="s">
        <v>336</v>
      </c>
      <c r="D50" s="31"/>
      <c r="E50" s="31"/>
      <c r="F50" s="31"/>
      <c r="G50" s="31"/>
      <c r="H50" s="87">
        <v>0</v>
      </c>
      <c r="I50" s="24"/>
      <c r="J50" s="31"/>
      <c r="K50" s="31"/>
      <c r="L50" s="8"/>
      <c r="M50" s="8"/>
      <c r="N50" s="8"/>
      <c r="O50" s="8"/>
      <c r="P50" s="8"/>
      <c r="Q50" s="8"/>
    </row>
    <row r="51" spans="1:17" ht="12.75" customHeight="1" x14ac:dyDescent="0.25">
      <c r="A51" s="18"/>
      <c r="B51" s="18"/>
      <c r="C51" s="18" t="s">
        <v>337</v>
      </c>
      <c r="D51" s="31">
        <v>2</v>
      </c>
      <c r="E51" s="31">
        <f>13+5</f>
        <v>18</v>
      </c>
      <c r="F51" s="31">
        <v>2</v>
      </c>
      <c r="G51" s="31">
        <v>18</v>
      </c>
      <c r="H51" s="87">
        <v>0</v>
      </c>
      <c r="I51" s="24"/>
      <c r="J51" s="31">
        <v>46</v>
      </c>
      <c r="K51" s="31">
        <v>364</v>
      </c>
      <c r="L51" s="8"/>
      <c r="M51" s="8"/>
      <c r="N51" s="8"/>
      <c r="O51" s="8"/>
      <c r="P51" s="8"/>
      <c r="Q51" s="8"/>
    </row>
    <row r="52" spans="1:17" ht="12.75" customHeight="1" x14ac:dyDescent="0.25">
      <c r="A52" s="18"/>
      <c r="B52" s="18"/>
      <c r="C52" s="18" t="s">
        <v>338</v>
      </c>
      <c r="D52" s="31">
        <v>2</v>
      </c>
      <c r="E52" s="31">
        <f>4+20</f>
        <v>24</v>
      </c>
      <c r="F52" s="31">
        <v>2</v>
      </c>
      <c r="G52" s="31">
        <v>24</v>
      </c>
      <c r="H52" s="87">
        <v>0</v>
      </c>
      <c r="I52" s="24"/>
      <c r="J52" s="31"/>
      <c r="K52" s="31"/>
      <c r="L52" s="8"/>
      <c r="M52" s="8"/>
      <c r="N52" s="8"/>
      <c r="O52" s="8"/>
      <c r="P52" s="8"/>
      <c r="Q52" s="8"/>
    </row>
    <row r="53" spans="1:17" ht="12.75" customHeight="1" x14ac:dyDescent="0.25">
      <c r="A53" s="18"/>
      <c r="B53" s="18"/>
      <c r="C53" s="18" t="s">
        <v>339</v>
      </c>
      <c r="D53" s="31">
        <v>1</v>
      </c>
      <c r="E53" s="31">
        <f>10</f>
        <v>10</v>
      </c>
      <c r="F53" s="31">
        <v>1</v>
      </c>
      <c r="G53" s="31">
        <v>5</v>
      </c>
      <c r="H53" s="87">
        <v>0</v>
      </c>
      <c r="I53" s="24"/>
      <c r="J53" s="31">
        <v>28</v>
      </c>
      <c r="K53" s="31">
        <v>180</v>
      </c>
      <c r="L53" s="8"/>
      <c r="M53" s="8"/>
      <c r="N53" s="8"/>
      <c r="O53" s="8"/>
      <c r="P53" s="8"/>
      <c r="Q53" s="8"/>
    </row>
    <row r="54" spans="1:17" ht="12.75" customHeight="1" x14ac:dyDescent="0.25">
      <c r="A54" s="18"/>
      <c r="B54" s="18"/>
      <c r="C54" s="18" t="s">
        <v>340</v>
      </c>
      <c r="D54" s="31">
        <v>1</v>
      </c>
      <c r="E54" s="31">
        <v>14</v>
      </c>
      <c r="F54" s="31">
        <v>1</v>
      </c>
      <c r="G54" s="31">
        <v>4</v>
      </c>
      <c r="H54" s="87">
        <v>0</v>
      </c>
      <c r="I54" s="24"/>
      <c r="J54" s="31">
        <v>16</v>
      </c>
      <c r="K54" s="31">
        <v>78</v>
      </c>
      <c r="L54" s="8"/>
      <c r="M54" s="8"/>
      <c r="N54" s="8"/>
      <c r="O54" s="8"/>
      <c r="P54" s="8"/>
      <c r="Q54" s="8"/>
    </row>
    <row r="55" spans="1:17" ht="12.75" customHeight="1" x14ac:dyDescent="0.25">
      <c r="A55" s="18"/>
      <c r="B55" s="18"/>
      <c r="C55" s="18" t="s">
        <v>341</v>
      </c>
      <c r="D55" s="31">
        <v>14</v>
      </c>
      <c r="E55" s="31">
        <v>167</v>
      </c>
      <c r="F55" s="31">
        <v>9</v>
      </c>
      <c r="G55" s="31">
        <v>63</v>
      </c>
      <c r="H55" s="87">
        <v>0</v>
      </c>
      <c r="I55" s="24"/>
      <c r="J55" s="31">
        <v>2</v>
      </c>
      <c r="K55" s="31">
        <f>10+10</f>
        <v>20</v>
      </c>
      <c r="L55" s="8"/>
      <c r="M55" s="8"/>
      <c r="N55" s="8"/>
      <c r="O55" s="8"/>
      <c r="P55" s="8"/>
      <c r="Q55" s="8"/>
    </row>
    <row r="56" spans="1:17" ht="12.75" customHeight="1" x14ac:dyDescent="0.25">
      <c r="A56" s="18"/>
      <c r="B56" s="18"/>
      <c r="C56" s="18" t="s">
        <v>342</v>
      </c>
      <c r="D56" s="63">
        <v>12</v>
      </c>
      <c r="E56" s="63">
        <v>150</v>
      </c>
      <c r="F56" s="92">
        <v>2</v>
      </c>
      <c r="G56" s="92">
        <f>5+5</f>
        <v>10</v>
      </c>
      <c r="H56" s="87">
        <v>0</v>
      </c>
      <c r="I56" s="63"/>
      <c r="J56" s="63">
        <v>1</v>
      </c>
      <c r="K56" s="63">
        <v>5</v>
      </c>
      <c r="L56" s="8"/>
      <c r="M56" s="8"/>
      <c r="N56" s="8"/>
      <c r="O56" s="8"/>
      <c r="P56" s="8"/>
      <c r="Q56" s="8"/>
    </row>
    <row r="57" spans="1:17" ht="12.75" customHeight="1" x14ac:dyDescent="0.25">
      <c r="A57" s="18"/>
      <c r="B57" s="18"/>
      <c r="C57" s="18" t="s">
        <v>343</v>
      </c>
      <c r="D57" s="31">
        <v>9</v>
      </c>
      <c r="E57" s="31">
        <v>102</v>
      </c>
      <c r="F57" s="31">
        <v>1</v>
      </c>
      <c r="G57" s="31">
        <v>15</v>
      </c>
      <c r="H57" s="87">
        <v>0</v>
      </c>
      <c r="I57" s="24"/>
      <c r="J57" s="31">
        <v>34</v>
      </c>
      <c r="K57" s="31">
        <v>245</v>
      </c>
      <c r="L57" s="8"/>
      <c r="M57" s="8"/>
      <c r="N57" s="8"/>
      <c r="O57" s="8"/>
      <c r="P57" s="8"/>
      <c r="Q57" s="8"/>
    </row>
    <row r="58" spans="1:17" ht="12.75" customHeight="1" x14ac:dyDescent="0.25">
      <c r="A58" s="18"/>
      <c r="B58" s="18"/>
      <c r="C58" s="18" t="s">
        <v>344</v>
      </c>
      <c r="D58" s="31"/>
      <c r="E58" s="31"/>
      <c r="F58" s="31"/>
      <c r="G58" s="31"/>
      <c r="H58" s="87">
        <v>0</v>
      </c>
      <c r="I58" s="24"/>
      <c r="J58" s="31"/>
      <c r="K58" s="31"/>
      <c r="L58" s="8"/>
      <c r="M58" s="8"/>
      <c r="N58" s="8"/>
      <c r="O58" s="8"/>
      <c r="P58" s="8"/>
      <c r="Q58" s="8"/>
    </row>
    <row r="59" spans="1:17" ht="12.75" customHeight="1" x14ac:dyDescent="0.25">
      <c r="A59" s="18"/>
      <c r="B59" s="18"/>
      <c r="C59" s="18" t="s">
        <v>345</v>
      </c>
      <c r="D59" s="31"/>
      <c r="E59" s="31"/>
      <c r="F59" s="31"/>
      <c r="G59" s="31"/>
      <c r="H59" s="87">
        <v>0</v>
      </c>
      <c r="I59" s="24"/>
      <c r="J59" s="31"/>
      <c r="K59" s="31"/>
      <c r="L59" s="8"/>
      <c r="M59" s="8"/>
      <c r="N59" s="8"/>
      <c r="O59" s="8"/>
      <c r="P59" s="8"/>
      <c r="Q59" s="8"/>
    </row>
    <row r="60" spans="1:17" ht="12.75" customHeight="1" x14ac:dyDescent="0.25">
      <c r="A60" s="18"/>
      <c r="B60" s="18"/>
      <c r="C60" s="18" t="s">
        <v>362</v>
      </c>
      <c r="D60" s="31"/>
      <c r="E60" s="31"/>
      <c r="F60" s="31"/>
      <c r="G60" s="31"/>
      <c r="H60" s="87">
        <v>0</v>
      </c>
      <c r="I60" s="24"/>
      <c r="J60" s="31"/>
      <c r="K60" s="31"/>
      <c r="L60" s="8"/>
      <c r="M60" s="8"/>
      <c r="N60" s="8"/>
      <c r="O60" s="8"/>
      <c r="P60" s="8"/>
      <c r="Q60" s="8"/>
    </row>
    <row r="61" spans="1:17" ht="17.25" customHeight="1" x14ac:dyDescent="0.2">
      <c r="A61" s="18"/>
      <c r="B61" s="18"/>
      <c r="C61" s="19" t="s">
        <v>30</v>
      </c>
      <c r="D61" s="31">
        <f t="shared" ref="D61:Q61" si="0">SUM(D20:D60)</f>
        <v>457</v>
      </c>
      <c r="E61" s="31">
        <f t="shared" si="0"/>
        <v>3988.8999999999996</v>
      </c>
      <c r="F61" s="31">
        <f t="shared" si="0"/>
        <v>312</v>
      </c>
      <c r="G61" s="31">
        <f t="shared" si="0"/>
        <v>2289.6999999999998</v>
      </c>
      <c r="H61" s="31">
        <f t="shared" si="0"/>
        <v>0</v>
      </c>
      <c r="I61" s="31">
        <f t="shared" si="0"/>
        <v>0</v>
      </c>
      <c r="J61" s="31">
        <f t="shared" si="0"/>
        <v>724</v>
      </c>
      <c r="K61" s="31">
        <f t="shared" si="0"/>
        <v>5770</v>
      </c>
      <c r="L61" s="31">
        <f t="shared" si="0"/>
        <v>0</v>
      </c>
      <c r="M61" s="31">
        <f t="shared" si="0"/>
        <v>0</v>
      </c>
      <c r="N61" s="31">
        <f t="shared" si="0"/>
        <v>0</v>
      </c>
      <c r="O61" s="31">
        <f t="shared" si="0"/>
        <v>0</v>
      </c>
      <c r="P61" s="31">
        <f t="shared" si="0"/>
        <v>0</v>
      </c>
      <c r="Q61" s="31">
        <f t="shared" si="0"/>
        <v>0</v>
      </c>
    </row>
    <row r="62" spans="1:17" ht="15" x14ac:dyDescent="0.25">
      <c r="A62" s="18"/>
      <c r="B62" s="18"/>
      <c r="C62" s="66" t="s">
        <v>148</v>
      </c>
      <c r="D62" s="79"/>
      <c r="E62" s="31"/>
      <c r="F62" s="31"/>
      <c r="G62" s="31"/>
      <c r="H62" s="87">
        <v>0</v>
      </c>
      <c r="I62" s="24"/>
      <c r="J62" s="31"/>
      <c r="K62" s="31"/>
      <c r="L62" s="8"/>
      <c r="M62" s="8"/>
      <c r="N62" s="8"/>
      <c r="O62" s="8"/>
      <c r="P62" s="8"/>
      <c r="Q62" s="8"/>
    </row>
    <row r="63" spans="1:17" ht="12.75" customHeight="1" x14ac:dyDescent="0.25">
      <c r="A63" s="18"/>
      <c r="B63" s="53"/>
      <c r="C63" s="18" t="s">
        <v>350</v>
      </c>
      <c r="D63" s="31">
        <v>68</v>
      </c>
      <c r="E63" s="31">
        <f>10+7+12+8+15+15+4+12+8+8+7+12+7+15+6+6+8+7+5+15+10+3+15+10+10+5+5+15+5+20+14+15+15+10+15+10+15+3+6+6+8+6+3+10+8+15+25+6+5+15+10+25+15+15+15+25+10+10+7+10+8+10+3+7+7+10+5+3</f>
        <v>690</v>
      </c>
      <c r="F63" s="31">
        <v>68</v>
      </c>
      <c r="G63" s="31">
        <v>540</v>
      </c>
      <c r="H63" s="87">
        <v>0</v>
      </c>
      <c r="I63" s="24"/>
      <c r="J63" s="31">
        <v>35</v>
      </c>
      <c r="K63" s="31">
        <v>190</v>
      </c>
      <c r="L63" s="8"/>
      <c r="M63" s="8"/>
      <c r="N63" s="8"/>
      <c r="O63" s="8"/>
      <c r="P63" s="8"/>
      <c r="Q63" s="8"/>
    </row>
    <row r="64" spans="1:17" ht="15" x14ac:dyDescent="0.25">
      <c r="A64" s="18"/>
      <c r="B64" s="53"/>
      <c r="C64" s="18" t="s">
        <v>149</v>
      </c>
      <c r="D64" s="31">
        <v>38</v>
      </c>
      <c r="E64" s="31">
        <f>15+15+5+15+15+15+15+8+15+15+15+15+4.5+15+10+15+10+15+15+15+13+15+15+5+5+15+10+5+15+6+6+15+10+15+10+15+15+7</f>
        <v>459.5</v>
      </c>
      <c r="F64" s="31">
        <v>38</v>
      </c>
      <c r="G64" s="31">
        <v>459.5</v>
      </c>
      <c r="H64" s="87">
        <v>0</v>
      </c>
      <c r="I64" s="24"/>
      <c r="J64" s="31">
        <v>27</v>
      </c>
      <c r="K64" s="31">
        <v>170</v>
      </c>
      <c r="L64" s="8"/>
      <c r="M64" s="8"/>
      <c r="N64" s="8"/>
      <c r="O64" s="8"/>
      <c r="P64" s="8"/>
      <c r="Q64" s="8"/>
    </row>
    <row r="65" spans="1:17" ht="12.75" customHeight="1" x14ac:dyDescent="0.25">
      <c r="A65" s="18"/>
      <c r="B65" s="53"/>
      <c r="C65" s="18" t="s">
        <v>150</v>
      </c>
      <c r="D65" s="31">
        <v>6</v>
      </c>
      <c r="E65" s="31">
        <f>5+350+5+30+5+4.5</f>
        <v>399.5</v>
      </c>
      <c r="F65" s="31">
        <v>6</v>
      </c>
      <c r="G65" s="31">
        <f>5+50+5+30+5+4.5</f>
        <v>99.5</v>
      </c>
      <c r="H65" s="87">
        <v>0</v>
      </c>
      <c r="I65" s="24"/>
      <c r="J65" s="31">
        <v>4</v>
      </c>
      <c r="K65" s="31">
        <f>5+5</f>
        <v>10</v>
      </c>
      <c r="L65" s="8"/>
      <c r="M65" s="8"/>
      <c r="N65" s="8"/>
      <c r="O65" s="8"/>
      <c r="P65" s="8"/>
      <c r="Q65" s="8"/>
    </row>
    <row r="66" spans="1:17" ht="12.75" customHeight="1" x14ac:dyDescent="0.25">
      <c r="A66" s="18"/>
      <c r="B66" s="53"/>
      <c r="C66" s="18" t="s">
        <v>151</v>
      </c>
      <c r="D66" s="31"/>
      <c r="E66" s="31"/>
      <c r="F66" s="31"/>
      <c r="G66" s="31"/>
      <c r="H66" s="87">
        <v>0</v>
      </c>
      <c r="I66" s="24"/>
      <c r="J66" s="31"/>
      <c r="K66" s="31"/>
      <c r="L66" s="8"/>
      <c r="M66" s="8"/>
      <c r="N66" s="8"/>
      <c r="O66" s="8"/>
      <c r="P66" s="8"/>
      <c r="Q66" s="8"/>
    </row>
    <row r="67" spans="1:17" ht="12.75" customHeight="1" x14ac:dyDescent="0.25">
      <c r="A67" s="18"/>
      <c r="B67" s="53"/>
      <c r="C67" s="18" t="s">
        <v>152</v>
      </c>
      <c r="D67" s="31">
        <v>9</v>
      </c>
      <c r="E67" s="31">
        <f>15+5+5+15+6+15+30+10+10</f>
        <v>111</v>
      </c>
      <c r="F67" s="31">
        <v>7</v>
      </c>
      <c r="G67" s="31">
        <v>97</v>
      </c>
      <c r="H67" s="87">
        <v>0</v>
      </c>
      <c r="I67" s="24"/>
      <c r="J67" s="31">
        <v>34</v>
      </c>
      <c r="K67" s="31">
        <v>214</v>
      </c>
      <c r="L67" s="8"/>
      <c r="M67" s="8"/>
      <c r="N67" s="8"/>
      <c r="O67" s="8"/>
      <c r="P67" s="8"/>
      <c r="Q67" s="8"/>
    </row>
    <row r="68" spans="1:17" ht="12.75" customHeight="1" x14ac:dyDescent="0.25">
      <c r="A68" s="18"/>
      <c r="B68" s="53"/>
      <c r="C68" s="18" t="s">
        <v>351</v>
      </c>
      <c r="D68" s="31">
        <v>1</v>
      </c>
      <c r="E68" s="31">
        <v>10</v>
      </c>
      <c r="F68" s="31">
        <v>1</v>
      </c>
      <c r="G68" s="31">
        <v>10</v>
      </c>
      <c r="H68" s="87">
        <v>0</v>
      </c>
      <c r="I68" s="24"/>
      <c r="J68" s="31"/>
      <c r="K68" s="31"/>
      <c r="L68" s="8"/>
      <c r="M68" s="8"/>
      <c r="N68" s="8"/>
      <c r="O68" s="8"/>
      <c r="P68" s="8"/>
      <c r="Q68" s="8"/>
    </row>
    <row r="69" spans="1:17" ht="12.75" customHeight="1" x14ac:dyDescent="0.25">
      <c r="A69" s="18"/>
      <c r="B69" s="53"/>
      <c r="C69" s="18" t="s">
        <v>153</v>
      </c>
      <c r="D69" s="31">
        <v>16</v>
      </c>
      <c r="E69" s="31">
        <v>155</v>
      </c>
      <c r="F69" s="31">
        <v>6</v>
      </c>
      <c r="G69" s="31">
        <v>70</v>
      </c>
      <c r="H69" s="87">
        <v>0</v>
      </c>
      <c r="I69" s="24"/>
      <c r="J69" s="31"/>
      <c r="K69" s="31"/>
      <c r="L69" s="8"/>
      <c r="M69" s="8"/>
      <c r="N69" s="8"/>
      <c r="O69" s="8"/>
      <c r="P69" s="8"/>
      <c r="Q69" s="8"/>
    </row>
    <row r="70" spans="1:17" ht="12.75" customHeight="1" x14ac:dyDescent="0.25">
      <c r="A70" s="18"/>
      <c r="B70" s="53"/>
      <c r="C70" s="18" t="s">
        <v>155</v>
      </c>
      <c r="D70" s="31">
        <v>1</v>
      </c>
      <c r="E70" s="31">
        <v>15</v>
      </c>
      <c r="F70" s="31">
        <v>1</v>
      </c>
      <c r="G70" s="31">
        <v>15</v>
      </c>
      <c r="H70" s="87">
        <v>0</v>
      </c>
      <c r="I70" s="24"/>
      <c r="J70" s="31"/>
      <c r="K70" s="31"/>
      <c r="L70" s="8"/>
      <c r="M70" s="8"/>
      <c r="N70" s="8"/>
      <c r="O70" s="8"/>
      <c r="P70" s="8"/>
      <c r="Q70" s="8"/>
    </row>
    <row r="71" spans="1:17" ht="12.75" customHeight="1" x14ac:dyDescent="0.25">
      <c r="A71" s="18"/>
      <c r="B71" s="53"/>
      <c r="C71" s="18" t="s">
        <v>154</v>
      </c>
      <c r="D71" s="31">
        <v>8</v>
      </c>
      <c r="E71" s="31">
        <f>5+15+10+10+15+10+5+12</f>
        <v>82</v>
      </c>
      <c r="F71" s="31">
        <v>8</v>
      </c>
      <c r="G71" s="31">
        <v>82</v>
      </c>
      <c r="H71" s="87">
        <v>0</v>
      </c>
      <c r="I71" s="24"/>
      <c r="J71" s="31"/>
      <c r="K71" s="31"/>
      <c r="L71" s="8"/>
      <c r="M71" s="8"/>
      <c r="N71" s="8"/>
      <c r="O71" s="8"/>
      <c r="P71" s="8"/>
      <c r="Q71" s="8"/>
    </row>
    <row r="72" spans="1:17" ht="12.75" customHeight="1" x14ac:dyDescent="0.25">
      <c r="A72" s="18"/>
      <c r="B72" s="53"/>
      <c r="C72" s="18" t="s">
        <v>147</v>
      </c>
      <c r="D72" s="31">
        <v>1</v>
      </c>
      <c r="E72" s="31">
        <f>6</f>
        <v>6</v>
      </c>
      <c r="F72" s="31">
        <v>1</v>
      </c>
      <c r="G72" s="31">
        <f>6</f>
        <v>6</v>
      </c>
      <c r="H72" s="87">
        <v>0</v>
      </c>
      <c r="I72" s="24"/>
      <c r="J72" s="31"/>
      <c r="K72" s="31"/>
      <c r="L72" s="8"/>
      <c r="M72" s="8"/>
      <c r="N72" s="8"/>
      <c r="O72" s="8"/>
      <c r="P72" s="8"/>
      <c r="Q72" s="8"/>
    </row>
    <row r="73" spans="1:17" ht="12.75" customHeight="1" x14ac:dyDescent="0.25">
      <c r="A73" s="18"/>
      <c r="B73" s="53"/>
      <c r="C73" s="18" t="s">
        <v>156</v>
      </c>
      <c r="D73" s="31"/>
      <c r="E73" s="31"/>
      <c r="F73" s="31"/>
      <c r="G73" s="31"/>
      <c r="H73" s="87">
        <v>0</v>
      </c>
      <c r="I73" s="24"/>
      <c r="J73" s="31">
        <v>29</v>
      </c>
      <c r="K73" s="31">
        <v>198</v>
      </c>
      <c r="L73" s="8"/>
      <c r="M73" s="8"/>
      <c r="N73" s="8"/>
      <c r="O73" s="8"/>
      <c r="P73" s="8"/>
      <c r="Q73" s="8"/>
    </row>
    <row r="74" spans="1:17" ht="12.75" customHeight="1" x14ac:dyDescent="0.25">
      <c r="A74" s="18"/>
      <c r="B74" s="53"/>
      <c r="C74" s="18" t="s">
        <v>157</v>
      </c>
      <c r="D74" s="31">
        <v>12</v>
      </c>
      <c r="E74" s="31">
        <f>5+10+7+5+7+15+5+15+5+4+10+10</f>
        <v>98</v>
      </c>
      <c r="F74" s="31">
        <v>12</v>
      </c>
      <c r="G74" s="31">
        <v>98</v>
      </c>
      <c r="H74" s="87">
        <v>0</v>
      </c>
      <c r="I74" s="24"/>
      <c r="J74" s="31"/>
      <c r="K74" s="31"/>
      <c r="L74" s="8"/>
      <c r="M74" s="8"/>
      <c r="N74" s="8"/>
      <c r="O74" s="8"/>
      <c r="P74" s="8"/>
      <c r="Q74" s="8"/>
    </row>
    <row r="75" spans="1:17" ht="12.75" customHeight="1" x14ac:dyDescent="0.25">
      <c r="A75" s="18"/>
      <c r="B75" s="53"/>
      <c r="C75" s="18" t="s">
        <v>158</v>
      </c>
      <c r="D75" s="31">
        <v>4</v>
      </c>
      <c r="E75" s="31">
        <v>56</v>
      </c>
      <c r="F75" s="31">
        <v>2</v>
      </c>
      <c r="G75" s="31">
        <f>3.5+5</f>
        <v>8.5</v>
      </c>
      <c r="H75" s="87">
        <v>0</v>
      </c>
      <c r="I75" s="24"/>
      <c r="J75" s="31">
        <v>27</v>
      </c>
      <c r="K75" s="31">
        <v>197</v>
      </c>
      <c r="L75" s="8"/>
      <c r="M75" s="8"/>
      <c r="N75" s="8"/>
      <c r="O75" s="8"/>
      <c r="P75" s="8"/>
      <c r="Q75" s="8"/>
    </row>
    <row r="76" spans="1:17" ht="12.75" customHeight="1" x14ac:dyDescent="0.25">
      <c r="A76" s="18"/>
      <c r="B76" s="53"/>
      <c r="C76" s="18" t="s">
        <v>159</v>
      </c>
      <c r="D76" s="31"/>
      <c r="E76" s="31"/>
      <c r="F76" s="31"/>
      <c r="G76" s="31"/>
      <c r="H76" s="87">
        <v>0</v>
      </c>
      <c r="I76" s="24"/>
      <c r="J76" s="31"/>
      <c r="K76" s="31"/>
      <c r="L76" s="8"/>
      <c r="M76" s="8"/>
      <c r="N76" s="8"/>
      <c r="O76" s="8"/>
      <c r="P76" s="8"/>
      <c r="Q76" s="8"/>
    </row>
    <row r="77" spans="1:17" ht="12.75" customHeight="1" x14ac:dyDescent="0.25">
      <c r="A77" s="18"/>
      <c r="B77" s="53"/>
      <c r="C77" s="18" t="s">
        <v>160</v>
      </c>
      <c r="D77" s="31">
        <v>1</v>
      </c>
      <c r="E77" s="31">
        <v>7</v>
      </c>
      <c r="F77" s="31">
        <v>1</v>
      </c>
      <c r="G77" s="31">
        <v>7</v>
      </c>
      <c r="H77" s="87">
        <v>0</v>
      </c>
      <c r="I77" s="24"/>
      <c r="J77" s="31"/>
      <c r="K77" s="31"/>
      <c r="L77" s="8"/>
      <c r="M77" s="8"/>
      <c r="N77" s="8"/>
      <c r="O77" s="8"/>
      <c r="P77" s="8"/>
      <c r="Q77" s="8"/>
    </row>
    <row r="78" spans="1:17" ht="12.75" customHeight="1" x14ac:dyDescent="0.25">
      <c r="A78" s="18"/>
      <c r="B78" s="53"/>
      <c r="C78" s="18" t="s">
        <v>161</v>
      </c>
      <c r="D78" s="31">
        <v>7</v>
      </c>
      <c r="E78" s="31">
        <f>10+15+7+6+7+5+12</f>
        <v>62</v>
      </c>
      <c r="F78" s="31">
        <v>7</v>
      </c>
      <c r="G78" s="31">
        <v>62</v>
      </c>
      <c r="H78" s="87">
        <v>0</v>
      </c>
      <c r="I78" s="24"/>
      <c r="J78" s="31"/>
      <c r="K78" s="31"/>
      <c r="L78" s="8"/>
      <c r="M78" s="8"/>
      <c r="N78" s="8"/>
      <c r="O78" s="8"/>
      <c r="P78" s="8"/>
      <c r="Q78" s="8"/>
    </row>
    <row r="79" spans="1:17" ht="12.75" customHeight="1" x14ac:dyDescent="0.25">
      <c r="A79" s="18"/>
      <c r="B79" s="53"/>
      <c r="C79" s="18" t="s">
        <v>162</v>
      </c>
      <c r="D79" s="31">
        <v>1</v>
      </c>
      <c r="E79" s="31">
        <v>5</v>
      </c>
      <c r="F79" s="31">
        <v>1</v>
      </c>
      <c r="G79" s="31">
        <v>5</v>
      </c>
      <c r="H79" s="87">
        <v>0</v>
      </c>
      <c r="I79" s="24"/>
      <c r="J79" s="31"/>
      <c r="K79" s="31"/>
      <c r="L79" s="8"/>
      <c r="M79" s="8"/>
      <c r="N79" s="8"/>
      <c r="O79" s="8"/>
      <c r="P79" s="8"/>
      <c r="Q79" s="8"/>
    </row>
    <row r="80" spans="1:17" ht="12.75" customHeight="1" x14ac:dyDescent="0.25">
      <c r="A80" s="18"/>
      <c r="B80" s="53"/>
      <c r="C80" s="18" t="s">
        <v>163</v>
      </c>
      <c r="D80" s="31">
        <v>4</v>
      </c>
      <c r="E80" s="31">
        <f>100+5+5+10</f>
        <v>120</v>
      </c>
      <c r="F80" s="31">
        <v>4</v>
      </c>
      <c r="G80" s="31">
        <v>80</v>
      </c>
      <c r="H80" s="87">
        <v>0</v>
      </c>
      <c r="I80" s="24"/>
      <c r="J80" s="31"/>
      <c r="K80" s="31"/>
      <c r="L80" s="8"/>
      <c r="M80" s="8"/>
      <c r="N80" s="8"/>
      <c r="O80" s="8"/>
      <c r="P80" s="8"/>
      <c r="Q80" s="8"/>
    </row>
    <row r="81" spans="1:17" ht="12.75" customHeight="1" x14ac:dyDescent="0.25">
      <c r="A81" s="18"/>
      <c r="B81" s="53"/>
      <c r="C81" s="18" t="s">
        <v>352</v>
      </c>
      <c r="D81" s="31">
        <v>6</v>
      </c>
      <c r="E81" s="31">
        <f>5+15+5+10+5+5</f>
        <v>45</v>
      </c>
      <c r="F81" s="31">
        <v>6</v>
      </c>
      <c r="G81" s="31">
        <v>45</v>
      </c>
      <c r="H81" s="87">
        <v>0</v>
      </c>
      <c r="I81" s="24"/>
      <c r="J81" s="31"/>
      <c r="K81" s="31"/>
      <c r="L81" s="8"/>
      <c r="M81" s="8"/>
      <c r="N81" s="8"/>
      <c r="O81" s="8"/>
      <c r="P81" s="8"/>
      <c r="Q81" s="8"/>
    </row>
    <row r="82" spans="1:17" ht="12.75" customHeight="1" x14ac:dyDescent="0.25">
      <c r="A82" s="18"/>
      <c r="B82" s="53"/>
      <c r="C82" s="18" t="s">
        <v>171</v>
      </c>
      <c r="D82" s="31">
        <v>1</v>
      </c>
      <c r="E82" s="31">
        <f>4</f>
        <v>4</v>
      </c>
      <c r="F82" s="31">
        <v>1</v>
      </c>
      <c r="G82" s="31">
        <f>4</f>
        <v>4</v>
      </c>
      <c r="H82" s="87">
        <v>0</v>
      </c>
      <c r="I82" s="24"/>
      <c r="J82" s="31">
        <v>1</v>
      </c>
      <c r="K82" s="31">
        <v>4</v>
      </c>
      <c r="L82" s="8"/>
      <c r="M82" s="8"/>
      <c r="N82" s="8"/>
      <c r="O82" s="8"/>
      <c r="P82" s="8"/>
      <c r="Q82" s="8"/>
    </row>
    <row r="83" spans="1:17" ht="12.75" customHeight="1" x14ac:dyDescent="0.25">
      <c r="A83" s="18"/>
      <c r="B83" s="53"/>
      <c r="C83" s="18" t="s">
        <v>164</v>
      </c>
      <c r="D83" s="31">
        <v>6</v>
      </c>
      <c r="E83" s="31">
        <f>8+2.5+12+6+3+2.5</f>
        <v>34</v>
      </c>
      <c r="F83" s="31">
        <v>6</v>
      </c>
      <c r="G83" s="31">
        <v>34</v>
      </c>
      <c r="H83" s="87">
        <v>0</v>
      </c>
      <c r="I83" s="24"/>
      <c r="J83" s="31"/>
      <c r="K83" s="31"/>
      <c r="L83" s="8"/>
      <c r="M83" s="8"/>
      <c r="N83" s="8"/>
      <c r="O83" s="8"/>
      <c r="P83" s="8"/>
      <c r="Q83" s="8"/>
    </row>
    <row r="84" spans="1:17" ht="12.75" customHeight="1" x14ac:dyDescent="0.25">
      <c r="A84" s="18"/>
      <c r="B84" s="53"/>
      <c r="C84" s="18" t="s">
        <v>357</v>
      </c>
      <c r="D84" s="31">
        <v>1</v>
      </c>
      <c r="E84" s="31">
        <v>5</v>
      </c>
      <c r="F84" s="31">
        <v>1</v>
      </c>
      <c r="G84" s="31">
        <v>5</v>
      </c>
      <c r="H84" s="87">
        <v>0</v>
      </c>
      <c r="I84" s="24"/>
      <c r="J84" s="31"/>
      <c r="K84" s="31"/>
      <c r="L84" s="8"/>
      <c r="M84" s="8"/>
      <c r="N84" s="8"/>
      <c r="O84" s="8"/>
      <c r="P84" s="8"/>
      <c r="Q84" s="8"/>
    </row>
    <row r="85" spans="1:17" ht="12.75" customHeight="1" x14ac:dyDescent="0.25">
      <c r="A85" s="18"/>
      <c r="B85" s="53"/>
      <c r="C85" s="18" t="s">
        <v>165</v>
      </c>
      <c r="D85" s="31"/>
      <c r="E85" s="31"/>
      <c r="F85" s="31"/>
      <c r="G85" s="31"/>
      <c r="H85" s="87">
        <v>0</v>
      </c>
      <c r="I85" s="24"/>
      <c r="J85" s="31"/>
      <c r="K85" s="31"/>
      <c r="L85" s="8"/>
      <c r="M85" s="8"/>
      <c r="N85" s="8"/>
      <c r="O85" s="8"/>
      <c r="P85" s="8"/>
      <c r="Q85" s="8"/>
    </row>
    <row r="86" spans="1:17" ht="12.75" customHeight="1" x14ac:dyDescent="0.25">
      <c r="A86" s="18"/>
      <c r="B86" s="53"/>
      <c r="C86" s="18" t="s">
        <v>166</v>
      </c>
      <c r="D86" s="31"/>
      <c r="E86" s="31"/>
      <c r="F86" s="31"/>
      <c r="G86" s="31"/>
      <c r="H86" s="87">
        <v>0</v>
      </c>
      <c r="I86" s="24"/>
      <c r="J86" s="31"/>
      <c r="K86" s="31"/>
      <c r="L86" s="8"/>
      <c r="M86" s="8"/>
      <c r="N86" s="8"/>
      <c r="O86" s="8"/>
      <c r="P86" s="8"/>
      <c r="Q86" s="8"/>
    </row>
    <row r="87" spans="1:17" ht="12.75" customHeight="1" x14ac:dyDescent="0.25">
      <c r="A87" s="18"/>
      <c r="B87" s="53"/>
      <c r="C87" s="18" t="s">
        <v>353</v>
      </c>
      <c r="D87" s="31">
        <v>3</v>
      </c>
      <c r="E87" s="31">
        <v>21</v>
      </c>
      <c r="F87" s="31"/>
      <c r="G87" s="31"/>
      <c r="H87" s="87">
        <v>0</v>
      </c>
      <c r="I87" s="24"/>
      <c r="J87" s="31"/>
      <c r="K87" s="31"/>
      <c r="L87" s="8"/>
      <c r="M87" s="8"/>
      <c r="N87" s="8"/>
      <c r="O87" s="8"/>
      <c r="P87" s="8"/>
      <c r="Q87" s="8"/>
    </row>
    <row r="88" spans="1:17" ht="12.75" customHeight="1" x14ac:dyDescent="0.25">
      <c r="A88" s="18"/>
      <c r="B88" s="53"/>
      <c r="C88" s="18" t="s">
        <v>354</v>
      </c>
      <c r="D88" s="31">
        <v>1</v>
      </c>
      <c r="E88" s="31">
        <v>10</v>
      </c>
      <c r="F88" s="31">
        <v>1</v>
      </c>
      <c r="G88" s="31">
        <v>10</v>
      </c>
      <c r="H88" s="87">
        <v>0</v>
      </c>
      <c r="I88" s="24"/>
      <c r="J88" s="31"/>
      <c r="K88" s="31"/>
      <c r="L88" s="8"/>
      <c r="M88" s="8"/>
      <c r="N88" s="8"/>
      <c r="O88" s="8"/>
      <c r="P88" s="8"/>
      <c r="Q88" s="8"/>
    </row>
    <row r="89" spans="1:17" ht="12.75" customHeight="1" x14ac:dyDescent="0.25">
      <c r="A89" s="18"/>
      <c r="B89" s="53"/>
      <c r="C89" s="18" t="s">
        <v>167</v>
      </c>
      <c r="D89" s="31"/>
      <c r="E89" s="31"/>
      <c r="F89" s="31"/>
      <c r="G89" s="31"/>
      <c r="H89" s="87">
        <v>0</v>
      </c>
      <c r="I89" s="24"/>
      <c r="J89" s="31"/>
      <c r="K89" s="31"/>
      <c r="L89" s="8"/>
      <c r="M89" s="8"/>
      <c r="N89" s="8"/>
      <c r="O89" s="8"/>
      <c r="P89" s="8"/>
      <c r="Q89" s="8"/>
    </row>
    <row r="90" spans="1:17" ht="12.75" customHeight="1" x14ac:dyDescent="0.25">
      <c r="A90" s="18"/>
      <c r="B90" s="53"/>
      <c r="C90" s="18" t="s">
        <v>355</v>
      </c>
      <c r="D90" s="31">
        <v>14</v>
      </c>
      <c r="E90" s="31">
        <f>10+12+8+40+5+7+5+12+5+8+7+25+5+5</f>
        <v>154</v>
      </c>
      <c r="F90" s="31">
        <v>14</v>
      </c>
      <c r="G90" s="31">
        <v>154</v>
      </c>
      <c r="H90" s="87">
        <v>0</v>
      </c>
      <c r="I90" s="24"/>
      <c r="J90" s="31"/>
      <c r="K90" s="31"/>
      <c r="L90" s="8"/>
      <c r="M90" s="8"/>
      <c r="N90" s="8"/>
      <c r="O90" s="8"/>
      <c r="P90" s="8"/>
      <c r="Q90" s="8"/>
    </row>
    <row r="91" spans="1:17" ht="12.75" customHeight="1" x14ac:dyDescent="0.25">
      <c r="A91" s="18"/>
      <c r="B91" s="53"/>
      <c r="C91" s="18" t="s">
        <v>168</v>
      </c>
      <c r="D91" s="31"/>
      <c r="E91" s="31"/>
      <c r="F91" s="31"/>
      <c r="G91" s="31"/>
      <c r="H91" s="87">
        <v>0</v>
      </c>
      <c r="I91" s="24"/>
      <c r="J91" s="31"/>
      <c r="K91" s="31"/>
      <c r="L91" s="8"/>
      <c r="M91" s="8"/>
      <c r="N91" s="8"/>
      <c r="O91" s="8"/>
      <c r="P91" s="8"/>
      <c r="Q91" s="8"/>
    </row>
    <row r="92" spans="1:17" ht="12.75" customHeight="1" x14ac:dyDescent="0.25">
      <c r="A92" s="18"/>
      <c r="B92" s="53"/>
      <c r="C92" s="18" t="s">
        <v>169</v>
      </c>
      <c r="D92" s="31"/>
      <c r="E92" s="31"/>
      <c r="F92" s="31"/>
      <c r="G92" s="31"/>
      <c r="H92" s="87">
        <v>0</v>
      </c>
      <c r="I92" s="24"/>
      <c r="J92" s="31"/>
      <c r="K92" s="31"/>
      <c r="L92" s="8"/>
      <c r="M92" s="8"/>
      <c r="N92" s="8"/>
      <c r="O92" s="8"/>
      <c r="P92" s="8"/>
      <c r="Q92" s="8"/>
    </row>
    <row r="93" spans="1:17" ht="12.75" customHeight="1" x14ac:dyDescent="0.25">
      <c r="A93" s="18"/>
      <c r="B93" s="53"/>
      <c r="C93" s="18" t="s">
        <v>358</v>
      </c>
      <c r="D93" s="31">
        <v>1</v>
      </c>
      <c r="E93" s="31">
        <v>6</v>
      </c>
      <c r="F93" s="31">
        <v>1</v>
      </c>
      <c r="G93" s="31">
        <v>6</v>
      </c>
      <c r="H93" s="87">
        <v>0</v>
      </c>
      <c r="I93" s="24"/>
      <c r="J93" s="31"/>
      <c r="K93" s="31"/>
      <c r="L93" s="8"/>
      <c r="M93" s="8"/>
      <c r="N93" s="8"/>
      <c r="O93" s="8"/>
      <c r="P93" s="8"/>
      <c r="Q93" s="8"/>
    </row>
    <row r="94" spans="1:17" ht="12.75" customHeight="1" x14ac:dyDescent="0.25">
      <c r="A94" s="18"/>
      <c r="B94" s="53"/>
      <c r="C94" s="18" t="s">
        <v>170</v>
      </c>
      <c r="D94" s="31">
        <v>6</v>
      </c>
      <c r="E94" s="31">
        <f>6+15+8+10+8+15</f>
        <v>62</v>
      </c>
      <c r="F94" s="31">
        <v>6</v>
      </c>
      <c r="G94" s="31">
        <v>48</v>
      </c>
      <c r="H94" s="87">
        <v>0</v>
      </c>
      <c r="I94" s="24"/>
      <c r="J94" s="31"/>
      <c r="K94" s="31"/>
      <c r="L94" s="8"/>
      <c r="M94" s="8"/>
      <c r="N94" s="8"/>
      <c r="O94" s="8"/>
      <c r="P94" s="8"/>
      <c r="Q94" s="8"/>
    </row>
    <row r="95" spans="1:17" ht="12.75" customHeight="1" x14ac:dyDescent="0.25">
      <c r="A95" s="18"/>
      <c r="B95" s="53"/>
      <c r="C95" s="18" t="s">
        <v>356</v>
      </c>
      <c r="D95" s="31">
        <v>1</v>
      </c>
      <c r="E95" s="31">
        <v>10</v>
      </c>
      <c r="F95" s="31">
        <v>1</v>
      </c>
      <c r="G95" s="31">
        <v>10</v>
      </c>
      <c r="H95" s="87">
        <v>0</v>
      </c>
      <c r="I95" s="24"/>
      <c r="J95" s="31"/>
      <c r="K95" s="31"/>
      <c r="L95" s="8"/>
      <c r="M95" s="8"/>
      <c r="N95" s="8"/>
      <c r="O95" s="8"/>
      <c r="P95" s="8"/>
      <c r="Q95" s="8"/>
    </row>
    <row r="96" spans="1:17" ht="12.75" customHeight="1" x14ac:dyDescent="0.25">
      <c r="A96" s="18"/>
      <c r="B96" s="53"/>
      <c r="C96" s="18" t="s">
        <v>172</v>
      </c>
      <c r="D96" s="31">
        <v>4</v>
      </c>
      <c r="E96" s="31">
        <f>6+7+5+5</f>
        <v>23</v>
      </c>
      <c r="F96" s="31">
        <v>4</v>
      </c>
      <c r="G96" s="31">
        <v>23</v>
      </c>
      <c r="H96" s="87">
        <v>0</v>
      </c>
      <c r="I96" s="24"/>
      <c r="J96" s="31">
        <v>1</v>
      </c>
      <c r="K96" s="31">
        <v>6</v>
      </c>
      <c r="L96" s="8"/>
      <c r="M96" s="8"/>
      <c r="N96" s="8"/>
      <c r="O96" s="8"/>
      <c r="P96" s="8"/>
      <c r="Q96" s="8"/>
    </row>
    <row r="97" spans="1:17" ht="12.75" customHeight="1" x14ac:dyDescent="0.25">
      <c r="A97" s="18"/>
      <c r="B97" s="53"/>
      <c r="C97" s="18" t="s">
        <v>173</v>
      </c>
      <c r="D97" s="31">
        <v>1</v>
      </c>
      <c r="E97" s="31">
        <v>7</v>
      </c>
      <c r="F97" s="31">
        <v>1</v>
      </c>
      <c r="G97" s="31">
        <v>7</v>
      </c>
      <c r="H97" s="87">
        <v>0</v>
      </c>
      <c r="I97" s="24"/>
      <c r="J97" s="31"/>
      <c r="K97" s="31"/>
      <c r="L97" s="8"/>
      <c r="M97" s="8"/>
      <c r="N97" s="8"/>
      <c r="O97" s="8"/>
      <c r="P97" s="8"/>
      <c r="Q97" s="8"/>
    </row>
    <row r="98" spans="1:17" ht="12.75" customHeight="1" x14ac:dyDescent="0.25">
      <c r="A98" s="18"/>
      <c r="B98" s="53"/>
      <c r="C98" s="50" t="s">
        <v>174</v>
      </c>
      <c r="D98" s="31"/>
      <c r="E98" s="31"/>
      <c r="F98" s="31"/>
      <c r="G98" s="31"/>
      <c r="H98" s="87">
        <v>0</v>
      </c>
      <c r="I98" s="24"/>
      <c r="J98" s="31"/>
      <c r="K98" s="31"/>
      <c r="L98" s="8"/>
      <c r="M98" s="8"/>
      <c r="N98" s="8"/>
      <c r="O98" s="8"/>
      <c r="P98" s="8"/>
      <c r="Q98" s="8"/>
    </row>
    <row r="99" spans="1:17" ht="22.5" customHeight="1" x14ac:dyDescent="0.2">
      <c r="A99" s="18"/>
      <c r="B99" s="18"/>
      <c r="C99" s="19" t="s">
        <v>30</v>
      </c>
      <c r="D99" s="31">
        <f t="shared" ref="D99:Q99" si="1">SUM(D63:D98)</f>
        <v>222</v>
      </c>
      <c r="E99" s="31">
        <f t="shared" si="1"/>
        <v>2657</v>
      </c>
      <c r="F99" s="31">
        <f t="shared" si="1"/>
        <v>205</v>
      </c>
      <c r="G99" s="31">
        <f t="shared" si="1"/>
        <v>1985.5</v>
      </c>
      <c r="H99" s="31">
        <f t="shared" si="1"/>
        <v>0</v>
      </c>
      <c r="I99" s="31">
        <f t="shared" si="1"/>
        <v>0</v>
      </c>
      <c r="J99" s="31">
        <f t="shared" si="1"/>
        <v>158</v>
      </c>
      <c r="K99" s="31">
        <f t="shared" si="1"/>
        <v>989</v>
      </c>
      <c r="L99" s="31">
        <f t="shared" si="1"/>
        <v>0</v>
      </c>
      <c r="M99" s="31">
        <f t="shared" si="1"/>
        <v>0</v>
      </c>
      <c r="N99" s="31">
        <f t="shared" si="1"/>
        <v>0</v>
      </c>
      <c r="O99" s="31">
        <f t="shared" si="1"/>
        <v>0</v>
      </c>
      <c r="P99" s="31">
        <f t="shared" si="1"/>
        <v>0</v>
      </c>
      <c r="Q99" s="31">
        <f t="shared" si="1"/>
        <v>0</v>
      </c>
    </row>
    <row r="100" spans="1:17" ht="15" x14ac:dyDescent="0.25">
      <c r="A100" s="18"/>
      <c r="B100" s="18"/>
      <c r="C100" s="55" t="s">
        <v>223</v>
      </c>
      <c r="D100" s="31"/>
      <c r="E100" s="31"/>
      <c r="F100" s="31"/>
      <c r="G100" s="31"/>
      <c r="H100" s="87">
        <v>0</v>
      </c>
      <c r="I100" s="24"/>
      <c r="J100" s="31"/>
      <c r="K100" s="31"/>
      <c r="L100" s="8"/>
      <c r="M100" s="8"/>
      <c r="N100" s="8"/>
      <c r="O100" s="8"/>
      <c r="P100" s="8"/>
      <c r="Q100" s="8"/>
    </row>
    <row r="101" spans="1:17" ht="15" x14ac:dyDescent="0.25">
      <c r="A101" s="18"/>
      <c r="B101" s="53"/>
      <c r="C101" s="50" t="s">
        <v>175</v>
      </c>
      <c r="D101" s="31">
        <v>56</v>
      </c>
      <c r="E101" s="31">
        <v>467</v>
      </c>
      <c r="F101" s="31">
        <v>25</v>
      </c>
      <c r="G101" s="31">
        <v>145</v>
      </c>
      <c r="H101" s="87">
        <v>0</v>
      </c>
      <c r="I101" s="24"/>
      <c r="J101" s="31">
        <v>15</v>
      </c>
      <c r="K101" s="31">
        <v>56</v>
      </c>
      <c r="L101" s="8"/>
      <c r="M101" s="8"/>
      <c r="N101" s="8"/>
      <c r="O101" s="8"/>
      <c r="P101" s="8"/>
      <c r="Q101" s="8"/>
    </row>
    <row r="102" spans="1:17" ht="15" x14ac:dyDescent="0.25">
      <c r="A102" s="18"/>
      <c r="B102" s="53"/>
      <c r="C102" s="50" t="s">
        <v>176</v>
      </c>
      <c r="D102" s="31">
        <v>41</v>
      </c>
      <c r="E102" s="31">
        <v>290</v>
      </c>
      <c r="F102" s="31">
        <v>16</v>
      </c>
      <c r="G102" s="31">
        <v>120</v>
      </c>
      <c r="H102" s="87">
        <v>0</v>
      </c>
      <c r="I102" s="24"/>
      <c r="J102" s="31">
        <v>18</v>
      </c>
      <c r="K102" s="31">
        <v>80</v>
      </c>
      <c r="L102" s="8"/>
      <c r="M102" s="8"/>
      <c r="N102" s="8"/>
      <c r="O102" s="8"/>
      <c r="P102" s="8"/>
      <c r="Q102" s="8"/>
    </row>
    <row r="103" spans="1:17" ht="15" x14ac:dyDescent="0.25">
      <c r="A103" s="18"/>
      <c r="B103" s="53"/>
      <c r="C103" s="50" t="s">
        <v>177</v>
      </c>
      <c r="D103" s="31">
        <v>16</v>
      </c>
      <c r="E103" s="31">
        <v>100</v>
      </c>
      <c r="F103" s="31">
        <v>6</v>
      </c>
      <c r="G103" s="31">
        <v>48</v>
      </c>
      <c r="H103" s="87">
        <v>0</v>
      </c>
      <c r="I103" s="24"/>
      <c r="J103" s="31">
        <v>25</v>
      </c>
      <c r="K103" s="31">
        <v>160</v>
      </c>
      <c r="L103" s="8"/>
      <c r="M103" s="8"/>
      <c r="N103" s="8"/>
      <c r="O103" s="8"/>
      <c r="P103" s="8"/>
      <c r="Q103" s="8"/>
    </row>
    <row r="104" spans="1:17" ht="15" x14ac:dyDescent="0.25">
      <c r="A104" s="18"/>
      <c r="B104" s="53"/>
      <c r="C104" s="50" t="s">
        <v>178</v>
      </c>
      <c r="D104" s="31">
        <v>27</v>
      </c>
      <c r="E104" s="31">
        <v>292</v>
      </c>
      <c r="F104" s="31">
        <v>27</v>
      </c>
      <c r="G104" s="31">
        <v>292</v>
      </c>
      <c r="H104" s="87">
        <v>0</v>
      </c>
      <c r="I104" s="24"/>
      <c r="J104" s="31">
        <v>22</v>
      </c>
      <c r="K104" s="31">
        <v>154</v>
      </c>
      <c r="L104" s="8"/>
      <c r="M104" s="8"/>
      <c r="N104" s="8"/>
      <c r="O104" s="8"/>
      <c r="P104" s="8"/>
      <c r="Q104" s="8"/>
    </row>
    <row r="105" spans="1:17" ht="15" x14ac:dyDescent="0.25">
      <c r="A105" s="18"/>
      <c r="B105" s="53"/>
      <c r="C105" s="50" t="s">
        <v>179</v>
      </c>
      <c r="D105" s="31">
        <v>9</v>
      </c>
      <c r="E105" s="31">
        <f>45+10+5+10+4+10+15+8+8</f>
        <v>115</v>
      </c>
      <c r="F105" s="31">
        <v>9</v>
      </c>
      <c r="G105" s="31">
        <v>115</v>
      </c>
      <c r="H105" s="87">
        <v>0</v>
      </c>
      <c r="I105" s="24"/>
      <c r="J105" s="31">
        <v>24</v>
      </c>
      <c r="K105" s="31">
        <v>140</v>
      </c>
      <c r="L105" s="8"/>
      <c r="M105" s="8"/>
      <c r="N105" s="8"/>
      <c r="O105" s="8"/>
      <c r="P105" s="8"/>
      <c r="Q105" s="8"/>
    </row>
    <row r="106" spans="1:17" ht="15" x14ac:dyDescent="0.25">
      <c r="A106" s="18"/>
      <c r="B106" s="53"/>
      <c r="C106" s="50" t="s">
        <v>180</v>
      </c>
      <c r="D106" s="31">
        <v>4</v>
      </c>
      <c r="E106" s="31">
        <f>7+14.5+7+10</f>
        <v>38.5</v>
      </c>
      <c r="F106" s="31">
        <v>4</v>
      </c>
      <c r="G106" s="31">
        <v>38.5</v>
      </c>
      <c r="H106" s="87">
        <v>0</v>
      </c>
      <c r="I106" s="24"/>
      <c r="J106" s="31">
        <v>35</v>
      </c>
      <c r="K106" s="31">
        <v>180</v>
      </c>
      <c r="L106" s="8"/>
      <c r="M106" s="8"/>
      <c r="N106" s="8"/>
      <c r="O106" s="8"/>
      <c r="P106" s="8"/>
      <c r="Q106" s="8"/>
    </row>
    <row r="107" spans="1:17" ht="15" x14ac:dyDescent="0.25">
      <c r="A107" s="18"/>
      <c r="B107" s="53"/>
      <c r="C107" s="50" t="s">
        <v>181</v>
      </c>
      <c r="D107" s="31">
        <v>7</v>
      </c>
      <c r="E107" s="31">
        <f>10+5+10+5+10+4+13</f>
        <v>57</v>
      </c>
      <c r="F107" s="31">
        <v>7</v>
      </c>
      <c r="G107" s="31">
        <v>57</v>
      </c>
      <c r="H107" s="87">
        <v>0</v>
      </c>
      <c r="I107" s="24"/>
      <c r="J107" s="31">
        <v>15</v>
      </c>
      <c r="K107" s="31">
        <v>72</v>
      </c>
      <c r="L107" s="8"/>
      <c r="M107" s="8"/>
      <c r="N107" s="8"/>
      <c r="O107" s="8"/>
      <c r="P107" s="8"/>
      <c r="Q107" s="8"/>
    </row>
    <row r="108" spans="1:17" ht="15" x14ac:dyDescent="0.25">
      <c r="A108" s="18"/>
      <c r="B108" s="53"/>
      <c r="C108" s="50" t="s">
        <v>182</v>
      </c>
      <c r="D108" s="31">
        <v>35</v>
      </c>
      <c r="E108" s="31">
        <v>350</v>
      </c>
      <c r="F108" s="31">
        <v>28</v>
      </c>
      <c r="G108" s="31">
        <v>254.5</v>
      </c>
      <c r="H108" s="87">
        <v>0</v>
      </c>
      <c r="I108" s="24"/>
      <c r="J108" s="31">
        <v>2</v>
      </c>
      <c r="K108" s="31">
        <f>5+10</f>
        <v>15</v>
      </c>
      <c r="L108" s="8"/>
      <c r="M108" s="8"/>
      <c r="N108" s="8"/>
      <c r="O108" s="8"/>
      <c r="P108" s="8"/>
      <c r="Q108" s="8"/>
    </row>
    <row r="109" spans="1:17" ht="15" x14ac:dyDescent="0.25">
      <c r="A109" s="18"/>
      <c r="B109" s="53"/>
      <c r="C109" s="50" t="s">
        <v>183</v>
      </c>
      <c r="D109" s="31">
        <v>11</v>
      </c>
      <c r="E109" s="31">
        <f>6+4+5+5+3+7+7+5+7+5+7</f>
        <v>61</v>
      </c>
      <c r="F109" s="31">
        <v>11</v>
      </c>
      <c r="G109" s="31">
        <v>61</v>
      </c>
      <c r="H109" s="87">
        <v>0</v>
      </c>
      <c r="I109" s="24"/>
      <c r="J109" s="31">
        <v>1</v>
      </c>
      <c r="K109" s="31">
        <f>6</f>
        <v>6</v>
      </c>
      <c r="L109" s="8"/>
      <c r="M109" s="8"/>
      <c r="N109" s="8"/>
      <c r="O109" s="8"/>
      <c r="P109" s="8"/>
      <c r="Q109" s="8"/>
    </row>
    <row r="110" spans="1:17" ht="15" x14ac:dyDescent="0.25">
      <c r="A110" s="18"/>
      <c r="B110" s="53"/>
      <c r="C110" s="50" t="s">
        <v>184</v>
      </c>
      <c r="D110" s="31">
        <v>8</v>
      </c>
      <c r="E110" s="31">
        <f>1.8+1.8+1.8+7+8+8+8+8</f>
        <v>44.4</v>
      </c>
      <c r="F110" s="31">
        <v>8</v>
      </c>
      <c r="G110" s="31">
        <v>44.4</v>
      </c>
      <c r="H110" s="87">
        <v>0</v>
      </c>
      <c r="I110" s="24"/>
      <c r="J110" s="31"/>
      <c r="K110" s="31"/>
      <c r="L110" s="8"/>
      <c r="M110" s="8"/>
      <c r="N110" s="8"/>
      <c r="O110" s="8"/>
      <c r="P110" s="8"/>
      <c r="Q110" s="8"/>
    </row>
    <row r="111" spans="1:17" ht="15" x14ac:dyDescent="0.25">
      <c r="A111" s="18"/>
      <c r="B111" s="53"/>
      <c r="C111" s="50" t="s">
        <v>185</v>
      </c>
      <c r="D111" s="31">
        <v>3</v>
      </c>
      <c r="E111" s="31">
        <f>7.5+10+12</f>
        <v>29.5</v>
      </c>
      <c r="F111" s="31">
        <v>3</v>
      </c>
      <c r="G111" s="31">
        <v>29.5</v>
      </c>
      <c r="H111" s="87">
        <v>0</v>
      </c>
      <c r="I111" s="24"/>
      <c r="J111" s="31">
        <v>9</v>
      </c>
      <c r="K111" s="31">
        <v>87</v>
      </c>
      <c r="L111" s="8"/>
      <c r="M111" s="8"/>
      <c r="N111" s="8"/>
      <c r="O111" s="8"/>
      <c r="P111" s="8"/>
      <c r="Q111" s="8"/>
    </row>
    <row r="112" spans="1:17" ht="15" x14ac:dyDescent="0.25">
      <c r="A112" s="18"/>
      <c r="B112" s="53"/>
      <c r="C112" s="50" t="s">
        <v>186</v>
      </c>
      <c r="D112" s="31"/>
      <c r="E112" s="31"/>
      <c r="F112" s="31"/>
      <c r="G112" s="31"/>
      <c r="H112" s="87">
        <v>0</v>
      </c>
      <c r="I112" s="24"/>
      <c r="J112" s="31"/>
      <c r="K112" s="31"/>
      <c r="L112" s="8"/>
      <c r="M112" s="8"/>
      <c r="N112" s="8"/>
      <c r="O112" s="8"/>
      <c r="P112" s="8"/>
      <c r="Q112" s="8"/>
    </row>
    <row r="113" spans="1:17" ht="15" x14ac:dyDescent="0.25">
      <c r="A113" s="18"/>
      <c r="B113" s="53"/>
      <c r="C113" s="50" t="s">
        <v>187</v>
      </c>
      <c r="D113" s="31"/>
      <c r="E113" s="31"/>
      <c r="F113" s="31"/>
      <c r="G113" s="31"/>
      <c r="H113" s="87">
        <v>0</v>
      </c>
      <c r="I113" s="24"/>
      <c r="J113" s="31"/>
      <c r="K113" s="31"/>
      <c r="L113" s="8"/>
      <c r="M113" s="8"/>
      <c r="N113" s="8"/>
      <c r="O113" s="8"/>
      <c r="P113" s="8"/>
      <c r="Q113" s="8"/>
    </row>
    <row r="114" spans="1:17" ht="15" x14ac:dyDescent="0.25">
      <c r="A114" s="18"/>
      <c r="B114" s="53"/>
      <c r="C114" s="50" t="s">
        <v>188</v>
      </c>
      <c r="D114" s="31">
        <v>21</v>
      </c>
      <c r="E114" s="31">
        <f>5+5+13.5+7.3+1.1+6+7+7+7+9+5</f>
        <v>72.900000000000006</v>
      </c>
      <c r="F114" s="31">
        <v>21</v>
      </c>
      <c r="G114" s="31">
        <v>72.900000000000006</v>
      </c>
      <c r="H114" s="87">
        <v>0</v>
      </c>
      <c r="I114" s="24"/>
      <c r="J114" s="31">
        <v>41</v>
      </c>
      <c r="K114" s="31">
        <v>290</v>
      </c>
      <c r="L114" s="8"/>
      <c r="M114" s="8"/>
      <c r="N114" s="8"/>
      <c r="O114" s="8"/>
      <c r="P114" s="8"/>
      <c r="Q114" s="8"/>
    </row>
    <row r="115" spans="1:17" ht="15" x14ac:dyDescent="0.25">
      <c r="A115" s="18"/>
      <c r="B115" s="53"/>
      <c r="C115" s="50" t="s">
        <v>189</v>
      </c>
      <c r="D115" s="31">
        <v>4</v>
      </c>
      <c r="E115" s="31">
        <f>4+10+12+10</f>
        <v>36</v>
      </c>
      <c r="F115" s="31">
        <v>4</v>
      </c>
      <c r="G115" s="31">
        <v>36</v>
      </c>
      <c r="H115" s="87">
        <v>0</v>
      </c>
      <c r="I115" s="24"/>
      <c r="J115" s="31"/>
      <c r="K115" s="31"/>
      <c r="L115" s="8"/>
      <c r="M115" s="8"/>
      <c r="N115" s="8"/>
      <c r="O115" s="8"/>
      <c r="P115" s="8"/>
      <c r="Q115" s="8"/>
    </row>
    <row r="116" spans="1:17" ht="15" x14ac:dyDescent="0.25">
      <c r="A116" s="18"/>
      <c r="B116" s="53"/>
      <c r="C116" s="50" t="s">
        <v>190</v>
      </c>
      <c r="D116" s="31">
        <v>2</v>
      </c>
      <c r="E116" s="31">
        <f>8+10</f>
        <v>18</v>
      </c>
      <c r="F116" s="31">
        <v>2</v>
      </c>
      <c r="G116" s="31">
        <f>8+10</f>
        <v>18</v>
      </c>
      <c r="H116" s="87">
        <v>0</v>
      </c>
      <c r="I116" s="24"/>
      <c r="J116" s="31"/>
      <c r="K116" s="31"/>
      <c r="L116" s="8"/>
      <c r="M116" s="8"/>
      <c r="N116" s="8"/>
      <c r="O116" s="8"/>
      <c r="P116" s="8"/>
      <c r="Q116" s="8"/>
    </row>
    <row r="117" spans="1:17" ht="15" x14ac:dyDescent="0.25">
      <c r="A117" s="18"/>
      <c r="B117" s="53"/>
      <c r="C117" s="50" t="s">
        <v>191</v>
      </c>
      <c r="D117" s="31"/>
      <c r="E117" s="31"/>
      <c r="F117" s="31"/>
      <c r="G117" s="31"/>
      <c r="H117" s="87">
        <v>0</v>
      </c>
      <c r="I117" s="24"/>
      <c r="J117" s="31"/>
      <c r="K117" s="31"/>
      <c r="L117" s="8"/>
      <c r="M117" s="8"/>
      <c r="N117" s="8"/>
      <c r="O117" s="8"/>
      <c r="P117" s="8"/>
      <c r="Q117" s="8"/>
    </row>
    <row r="118" spans="1:17" ht="15" x14ac:dyDescent="0.25">
      <c r="A118" s="18"/>
      <c r="B118" s="53"/>
      <c r="C118" s="50" t="s">
        <v>192</v>
      </c>
      <c r="D118" s="83"/>
      <c r="E118" s="83"/>
      <c r="F118" s="83"/>
      <c r="G118" s="83"/>
      <c r="H118" s="87">
        <v>0</v>
      </c>
      <c r="I118" s="24"/>
      <c r="J118" s="31"/>
      <c r="K118" s="31"/>
      <c r="L118" s="8"/>
      <c r="M118" s="8"/>
      <c r="N118" s="8"/>
      <c r="O118" s="8"/>
      <c r="P118" s="8"/>
      <c r="Q118" s="8"/>
    </row>
    <row r="119" spans="1:17" ht="15" x14ac:dyDescent="0.25">
      <c r="A119" s="18"/>
      <c r="B119" s="53"/>
      <c r="C119" s="50" t="s">
        <v>193</v>
      </c>
      <c r="D119" s="83">
        <v>2</v>
      </c>
      <c r="E119" s="83">
        <f>7.5+6</f>
        <v>13.5</v>
      </c>
      <c r="F119" s="83">
        <v>2</v>
      </c>
      <c r="G119" s="83">
        <f>7.5+6</f>
        <v>13.5</v>
      </c>
      <c r="H119" s="87">
        <v>0</v>
      </c>
      <c r="I119" s="24"/>
      <c r="J119" s="31"/>
      <c r="K119" s="31"/>
      <c r="L119" s="8"/>
      <c r="M119" s="8"/>
      <c r="N119" s="8"/>
      <c r="O119" s="8"/>
      <c r="P119" s="8"/>
      <c r="Q119" s="8"/>
    </row>
    <row r="120" spans="1:17" ht="15" x14ac:dyDescent="0.25">
      <c r="A120" s="18"/>
      <c r="B120" s="53"/>
      <c r="C120" s="50" t="s">
        <v>194</v>
      </c>
      <c r="D120" s="83">
        <v>4</v>
      </c>
      <c r="E120" s="83">
        <f>3+5+7+15</f>
        <v>30</v>
      </c>
      <c r="F120" s="83">
        <v>4</v>
      </c>
      <c r="G120" s="83">
        <f>3+5+7+15</f>
        <v>30</v>
      </c>
      <c r="H120" s="87">
        <v>0</v>
      </c>
      <c r="I120" s="24"/>
      <c r="J120" s="31"/>
      <c r="K120" s="31"/>
      <c r="L120" s="8"/>
      <c r="M120" s="8"/>
      <c r="N120" s="8"/>
      <c r="O120" s="8"/>
      <c r="P120" s="8"/>
      <c r="Q120" s="8"/>
    </row>
    <row r="121" spans="1:17" ht="15" x14ac:dyDescent="0.25">
      <c r="A121" s="18"/>
      <c r="B121" s="53"/>
      <c r="C121" s="50" t="s">
        <v>195</v>
      </c>
      <c r="D121" s="83">
        <v>3</v>
      </c>
      <c r="E121" s="83">
        <f>2.5+5+5</f>
        <v>12.5</v>
      </c>
      <c r="F121" s="83">
        <v>3</v>
      </c>
      <c r="G121" s="83">
        <v>12.5</v>
      </c>
      <c r="H121" s="87">
        <v>0</v>
      </c>
      <c r="I121" s="24"/>
      <c r="J121" s="31"/>
      <c r="K121" s="31"/>
      <c r="L121" s="8"/>
      <c r="M121" s="8"/>
      <c r="N121" s="8"/>
      <c r="O121" s="8"/>
      <c r="P121" s="8"/>
      <c r="Q121" s="8"/>
    </row>
    <row r="122" spans="1:17" ht="15" x14ac:dyDescent="0.25">
      <c r="A122" s="18"/>
      <c r="B122" s="53"/>
      <c r="C122" s="50" t="s">
        <v>196</v>
      </c>
      <c r="D122" s="83">
        <v>5</v>
      </c>
      <c r="E122" s="83">
        <f>8+10+1.8+14+8</f>
        <v>41.8</v>
      </c>
      <c r="F122" s="83">
        <v>5</v>
      </c>
      <c r="G122" s="83">
        <v>41.8</v>
      </c>
      <c r="H122" s="87">
        <v>0</v>
      </c>
      <c r="I122" s="24"/>
      <c r="J122" s="83">
        <v>2</v>
      </c>
      <c r="K122" s="83">
        <f>8+10</f>
        <v>18</v>
      </c>
      <c r="L122" s="8"/>
      <c r="M122" s="8"/>
      <c r="N122" s="8"/>
      <c r="O122" s="8"/>
      <c r="P122" s="8"/>
      <c r="Q122" s="8"/>
    </row>
    <row r="123" spans="1:17" ht="12.75" customHeight="1" x14ac:dyDescent="0.25">
      <c r="A123" s="18"/>
      <c r="B123" s="53"/>
      <c r="C123" s="50" t="s">
        <v>197</v>
      </c>
      <c r="D123" s="83">
        <v>3</v>
      </c>
      <c r="E123" s="83">
        <f>5+5+5</f>
        <v>15</v>
      </c>
      <c r="F123" s="83">
        <v>3</v>
      </c>
      <c r="G123" s="83">
        <v>15</v>
      </c>
      <c r="H123" s="87">
        <v>0</v>
      </c>
      <c r="I123" s="24"/>
      <c r="J123" s="31"/>
      <c r="K123" s="31"/>
      <c r="L123" s="8"/>
      <c r="M123" s="8"/>
      <c r="N123" s="8"/>
      <c r="O123" s="8"/>
      <c r="P123" s="8"/>
      <c r="Q123" s="8"/>
    </row>
    <row r="124" spans="1:17" ht="12.75" customHeight="1" x14ac:dyDescent="0.25">
      <c r="A124" s="18"/>
      <c r="B124" s="53"/>
      <c r="C124" s="50" t="s">
        <v>198</v>
      </c>
      <c r="D124" s="83"/>
      <c r="E124" s="83"/>
      <c r="F124" s="83"/>
      <c r="G124" s="83"/>
      <c r="H124" s="87">
        <v>0</v>
      </c>
      <c r="I124" s="24"/>
      <c r="J124" s="31"/>
      <c r="K124" s="31"/>
      <c r="L124" s="8"/>
      <c r="M124" s="8"/>
      <c r="N124" s="8"/>
      <c r="O124" s="8"/>
      <c r="P124" s="8"/>
      <c r="Q124" s="8"/>
    </row>
    <row r="125" spans="1:17" ht="12.75" customHeight="1" x14ac:dyDescent="0.25">
      <c r="A125" s="18"/>
      <c r="B125" s="53"/>
      <c r="C125" s="50" t="s">
        <v>199</v>
      </c>
      <c r="D125" s="83">
        <v>1</v>
      </c>
      <c r="E125" s="83">
        <v>1.8</v>
      </c>
      <c r="F125" s="83">
        <v>1</v>
      </c>
      <c r="G125" s="83">
        <v>1.8</v>
      </c>
      <c r="H125" s="87">
        <v>0</v>
      </c>
      <c r="I125" s="24"/>
      <c r="J125" s="31"/>
      <c r="K125" s="31"/>
      <c r="L125" s="8"/>
      <c r="M125" s="8"/>
      <c r="N125" s="8"/>
      <c r="O125" s="8"/>
      <c r="P125" s="8"/>
      <c r="Q125" s="8"/>
    </row>
    <row r="126" spans="1:17" ht="12.75" customHeight="1" x14ac:dyDescent="0.25">
      <c r="A126" s="18"/>
      <c r="B126" s="53"/>
      <c r="C126" s="50" t="s">
        <v>200</v>
      </c>
      <c r="D126" s="83">
        <v>9</v>
      </c>
      <c r="E126" s="83">
        <f>15+14+13+10+6+7</f>
        <v>65</v>
      </c>
      <c r="F126" s="83">
        <v>6</v>
      </c>
      <c r="G126" s="83">
        <v>65</v>
      </c>
      <c r="H126" s="87">
        <v>0</v>
      </c>
      <c r="I126" s="24"/>
      <c r="J126" s="31"/>
      <c r="K126" s="31"/>
      <c r="L126" s="8"/>
      <c r="M126" s="8"/>
      <c r="N126" s="8"/>
      <c r="O126" s="8"/>
      <c r="P126" s="8"/>
      <c r="Q126" s="8"/>
    </row>
    <row r="127" spans="1:17" ht="12.75" customHeight="1" x14ac:dyDescent="0.25">
      <c r="A127" s="18"/>
      <c r="B127" s="53"/>
      <c r="C127" s="50" t="s">
        <v>201</v>
      </c>
      <c r="D127" s="83">
        <v>7</v>
      </c>
      <c r="E127" s="83">
        <f>3+5+10+10+7+10+5.5</f>
        <v>50.5</v>
      </c>
      <c r="F127" s="83">
        <v>7</v>
      </c>
      <c r="G127" s="83">
        <v>50.5</v>
      </c>
      <c r="H127" s="87">
        <v>0</v>
      </c>
      <c r="I127" s="24"/>
      <c r="J127" s="31"/>
      <c r="K127" s="31"/>
      <c r="L127" s="8"/>
      <c r="M127" s="8"/>
      <c r="N127" s="8"/>
      <c r="O127" s="8"/>
      <c r="P127" s="8"/>
      <c r="Q127" s="8"/>
    </row>
    <row r="128" spans="1:17" ht="12.75" customHeight="1" x14ac:dyDescent="0.25">
      <c r="A128" s="18"/>
      <c r="B128" s="53"/>
      <c r="C128" s="50" t="s">
        <v>202</v>
      </c>
      <c r="D128" s="83">
        <v>4</v>
      </c>
      <c r="E128" s="83">
        <f>12+7</f>
        <v>19</v>
      </c>
      <c r="F128" s="83">
        <v>2</v>
      </c>
      <c r="G128" s="83">
        <f>12+7</f>
        <v>19</v>
      </c>
      <c r="H128" s="87">
        <v>0</v>
      </c>
      <c r="I128" s="24"/>
      <c r="J128" s="31">
        <v>24</v>
      </c>
      <c r="K128" s="31">
        <v>137</v>
      </c>
      <c r="L128" s="8"/>
      <c r="M128" s="8"/>
      <c r="N128" s="8"/>
      <c r="O128" s="8"/>
      <c r="P128" s="8"/>
      <c r="Q128" s="8"/>
    </row>
    <row r="129" spans="1:17" ht="12.75" customHeight="1" x14ac:dyDescent="0.25">
      <c r="A129" s="18"/>
      <c r="B129" s="53"/>
      <c r="C129" s="50" t="s">
        <v>203</v>
      </c>
      <c r="D129" s="83">
        <v>1</v>
      </c>
      <c r="E129" s="83">
        <v>3</v>
      </c>
      <c r="F129" s="83">
        <v>1</v>
      </c>
      <c r="G129" s="83">
        <v>3</v>
      </c>
      <c r="H129" s="87">
        <v>0</v>
      </c>
      <c r="I129" s="24"/>
      <c r="J129" s="31">
        <v>37</v>
      </c>
      <c r="K129" s="31">
        <v>201</v>
      </c>
      <c r="L129" s="8"/>
      <c r="M129" s="8"/>
      <c r="N129" s="8"/>
      <c r="O129" s="8"/>
      <c r="P129" s="8"/>
      <c r="Q129" s="8"/>
    </row>
    <row r="130" spans="1:17" ht="12.75" customHeight="1" x14ac:dyDescent="0.25">
      <c r="A130" s="18"/>
      <c r="B130" s="53"/>
      <c r="C130" s="50" t="s">
        <v>204</v>
      </c>
      <c r="D130" s="83"/>
      <c r="E130" s="83"/>
      <c r="F130" s="83"/>
      <c r="G130" s="83"/>
      <c r="H130" s="87">
        <v>0</v>
      </c>
      <c r="I130" s="24"/>
      <c r="J130" s="31"/>
      <c r="K130" s="31"/>
      <c r="L130" s="8"/>
      <c r="M130" s="8"/>
      <c r="N130" s="8"/>
      <c r="O130" s="8"/>
      <c r="P130" s="8"/>
      <c r="Q130" s="8"/>
    </row>
    <row r="131" spans="1:17" ht="12.75" customHeight="1" x14ac:dyDescent="0.25">
      <c r="A131" s="18"/>
      <c r="B131" s="53"/>
      <c r="C131" s="50" t="s">
        <v>205</v>
      </c>
      <c r="D131" s="83"/>
      <c r="E131" s="83"/>
      <c r="F131" s="83"/>
      <c r="G131" s="83"/>
      <c r="H131" s="87">
        <v>0</v>
      </c>
      <c r="I131" s="24"/>
      <c r="J131" s="31">
        <v>16</v>
      </c>
      <c r="K131" s="31">
        <v>87</v>
      </c>
      <c r="L131" s="8"/>
      <c r="M131" s="8"/>
      <c r="N131" s="8"/>
      <c r="O131" s="8"/>
      <c r="P131" s="8"/>
      <c r="Q131" s="8"/>
    </row>
    <row r="132" spans="1:17" ht="12.75" customHeight="1" x14ac:dyDescent="0.25">
      <c r="A132" s="18"/>
      <c r="B132" s="53"/>
      <c r="C132" s="50" t="s">
        <v>206</v>
      </c>
      <c r="D132" s="83">
        <v>2</v>
      </c>
      <c r="E132" s="83">
        <f>3+10</f>
        <v>13</v>
      </c>
      <c r="F132" s="83">
        <v>2</v>
      </c>
      <c r="G132" s="83">
        <f>3+10</f>
        <v>13</v>
      </c>
      <c r="H132" s="87">
        <v>0</v>
      </c>
      <c r="I132" s="24"/>
      <c r="J132" s="31"/>
      <c r="K132" s="31"/>
      <c r="L132" s="8"/>
      <c r="M132" s="8"/>
      <c r="N132" s="8"/>
      <c r="O132" s="8"/>
      <c r="P132" s="8"/>
      <c r="Q132" s="8"/>
    </row>
    <row r="133" spans="1:17" ht="12.75" customHeight="1" x14ac:dyDescent="0.25">
      <c r="A133" s="18"/>
      <c r="B133" s="53"/>
      <c r="C133" s="50" t="s">
        <v>207</v>
      </c>
      <c r="D133" s="83">
        <v>2</v>
      </c>
      <c r="E133" s="83">
        <f>15+3</f>
        <v>18</v>
      </c>
      <c r="F133" s="83">
        <v>2</v>
      </c>
      <c r="G133" s="83">
        <v>18</v>
      </c>
      <c r="H133" s="87">
        <v>0</v>
      </c>
      <c r="I133" s="24"/>
      <c r="J133" s="31"/>
      <c r="K133" s="31"/>
      <c r="L133" s="8"/>
      <c r="M133" s="8"/>
      <c r="N133" s="8"/>
      <c r="O133" s="8"/>
      <c r="P133" s="8"/>
      <c r="Q133" s="8"/>
    </row>
    <row r="134" spans="1:17" ht="12.75" customHeight="1" x14ac:dyDescent="0.25">
      <c r="A134" s="18"/>
      <c r="B134" s="53"/>
      <c r="C134" s="50" t="s">
        <v>186</v>
      </c>
      <c r="D134" s="83"/>
      <c r="E134" s="83"/>
      <c r="F134" s="83"/>
      <c r="G134" s="83"/>
      <c r="H134" s="87">
        <v>0</v>
      </c>
      <c r="I134" s="24"/>
      <c r="J134" s="31"/>
      <c r="K134" s="31"/>
      <c r="L134" s="8"/>
      <c r="M134" s="8"/>
      <c r="N134" s="8"/>
      <c r="O134" s="8"/>
      <c r="P134" s="8"/>
      <c r="Q134" s="8"/>
    </row>
    <row r="135" spans="1:17" ht="12.75" customHeight="1" x14ac:dyDescent="0.25">
      <c r="A135" s="18"/>
      <c r="B135" s="53"/>
      <c r="C135" s="50" t="s">
        <v>208</v>
      </c>
      <c r="D135" s="84"/>
      <c r="E135" s="84"/>
      <c r="F135" s="84"/>
      <c r="G135" s="84"/>
      <c r="H135" s="87">
        <v>0</v>
      </c>
      <c r="I135" s="63"/>
      <c r="J135" s="63"/>
      <c r="K135" s="63"/>
      <c r="L135" s="8"/>
      <c r="M135" s="8"/>
      <c r="N135" s="8"/>
      <c r="O135" s="8"/>
      <c r="P135" s="8"/>
      <c r="Q135" s="8"/>
    </row>
    <row r="136" spans="1:17" ht="12.75" customHeight="1" x14ac:dyDescent="0.25">
      <c r="A136" s="18"/>
      <c r="B136" s="53"/>
      <c r="C136" s="50" t="s">
        <v>209</v>
      </c>
      <c r="D136" s="83"/>
      <c r="E136" s="83"/>
      <c r="F136" s="83"/>
      <c r="G136" s="83"/>
      <c r="H136" s="87">
        <v>0</v>
      </c>
      <c r="I136" s="24"/>
      <c r="J136" s="31"/>
      <c r="K136" s="31"/>
      <c r="L136" s="8"/>
      <c r="M136" s="8"/>
      <c r="N136" s="8"/>
      <c r="O136" s="8"/>
      <c r="P136" s="8"/>
      <c r="Q136" s="8"/>
    </row>
    <row r="137" spans="1:17" ht="12.75" customHeight="1" x14ac:dyDescent="0.25">
      <c r="A137" s="18"/>
      <c r="B137" s="53"/>
      <c r="C137" s="50" t="s">
        <v>210</v>
      </c>
      <c r="D137" s="83"/>
      <c r="E137" s="83"/>
      <c r="F137" s="83"/>
      <c r="G137" s="83"/>
      <c r="H137" s="87">
        <v>0</v>
      </c>
      <c r="I137" s="24"/>
      <c r="J137" s="31"/>
      <c r="K137" s="31"/>
      <c r="L137" s="8"/>
      <c r="M137" s="8"/>
      <c r="N137" s="8"/>
      <c r="O137" s="8"/>
      <c r="P137" s="8"/>
      <c r="Q137" s="8"/>
    </row>
    <row r="138" spans="1:17" ht="12.75" customHeight="1" x14ac:dyDescent="0.25">
      <c r="A138" s="18"/>
      <c r="B138" s="53"/>
      <c r="C138" s="50" t="s">
        <v>211</v>
      </c>
      <c r="D138" s="83"/>
      <c r="E138" s="83"/>
      <c r="F138" s="83"/>
      <c r="G138" s="83"/>
      <c r="H138" s="87">
        <v>0</v>
      </c>
      <c r="I138" s="24"/>
      <c r="J138" s="31"/>
      <c r="K138" s="31"/>
      <c r="L138" s="8"/>
      <c r="M138" s="8"/>
      <c r="N138" s="8"/>
      <c r="O138" s="8"/>
      <c r="P138" s="8"/>
      <c r="Q138" s="8"/>
    </row>
    <row r="139" spans="1:17" ht="12.75" customHeight="1" x14ac:dyDescent="0.25">
      <c r="A139" s="18"/>
      <c r="B139" s="53"/>
      <c r="C139" s="50" t="s">
        <v>212</v>
      </c>
      <c r="D139" s="83">
        <v>11</v>
      </c>
      <c r="E139" s="83">
        <f>8+14+13+3+5+12+5+5+5+13+8</f>
        <v>91</v>
      </c>
      <c r="F139" s="83">
        <v>11</v>
      </c>
      <c r="G139" s="83">
        <v>91</v>
      </c>
      <c r="H139" s="87">
        <v>0</v>
      </c>
      <c r="I139" s="24"/>
      <c r="J139" s="31"/>
      <c r="K139" s="31"/>
      <c r="L139" s="8"/>
      <c r="M139" s="8"/>
      <c r="N139" s="8"/>
      <c r="O139" s="8"/>
      <c r="P139" s="8"/>
      <c r="Q139" s="8"/>
    </row>
    <row r="140" spans="1:17" ht="12.75" customHeight="1" x14ac:dyDescent="0.25">
      <c r="A140" s="18"/>
      <c r="B140" s="53"/>
      <c r="C140" s="50" t="s">
        <v>213</v>
      </c>
      <c r="D140" s="83">
        <v>3</v>
      </c>
      <c r="E140" s="83">
        <f>12+3+15</f>
        <v>30</v>
      </c>
      <c r="F140" s="83">
        <v>3</v>
      </c>
      <c r="G140" s="83">
        <v>30</v>
      </c>
      <c r="H140" s="87">
        <v>0</v>
      </c>
      <c r="I140" s="24"/>
      <c r="J140" s="31"/>
      <c r="K140" s="31"/>
      <c r="L140" s="8"/>
      <c r="M140" s="8"/>
      <c r="N140" s="8"/>
      <c r="O140" s="8"/>
      <c r="P140" s="8"/>
      <c r="Q140" s="8"/>
    </row>
    <row r="141" spans="1:17" ht="12.75" customHeight="1" x14ac:dyDescent="0.25">
      <c r="A141" s="18"/>
      <c r="B141" s="53"/>
      <c r="C141" s="50" t="s">
        <v>214</v>
      </c>
      <c r="D141" s="83"/>
      <c r="E141" s="83"/>
      <c r="F141" s="83"/>
      <c r="G141" s="83"/>
      <c r="H141" s="87">
        <v>0</v>
      </c>
      <c r="I141" s="24"/>
      <c r="J141" s="31"/>
      <c r="K141" s="31"/>
      <c r="L141" s="8"/>
      <c r="M141" s="8"/>
      <c r="N141" s="8"/>
      <c r="O141" s="8"/>
      <c r="P141" s="8"/>
      <c r="Q141" s="8"/>
    </row>
    <row r="142" spans="1:17" ht="12.75" customHeight="1" x14ac:dyDescent="0.25">
      <c r="A142" s="18"/>
      <c r="B142" s="53"/>
      <c r="C142" s="50" t="s">
        <v>215</v>
      </c>
      <c r="D142" s="83">
        <v>3</v>
      </c>
      <c r="E142" s="83">
        <f>14+12+8</f>
        <v>34</v>
      </c>
      <c r="F142" s="83">
        <v>3</v>
      </c>
      <c r="G142" s="83">
        <f>14+12+8</f>
        <v>34</v>
      </c>
      <c r="H142" s="87">
        <v>0</v>
      </c>
      <c r="I142" s="24"/>
      <c r="J142" s="31"/>
      <c r="K142" s="31"/>
      <c r="L142" s="8"/>
      <c r="M142" s="8"/>
      <c r="N142" s="8"/>
      <c r="O142" s="8"/>
      <c r="P142" s="8"/>
      <c r="Q142" s="8"/>
    </row>
    <row r="143" spans="1:17" ht="12.75" customHeight="1" x14ac:dyDescent="0.25">
      <c r="A143" s="18"/>
      <c r="B143" s="53"/>
      <c r="C143" s="56" t="s">
        <v>216</v>
      </c>
      <c r="D143" s="83">
        <v>1</v>
      </c>
      <c r="E143" s="83">
        <v>12</v>
      </c>
      <c r="F143" s="83">
        <v>1</v>
      </c>
      <c r="G143" s="83">
        <v>12</v>
      </c>
      <c r="H143" s="87">
        <v>0</v>
      </c>
      <c r="I143" s="24"/>
      <c r="J143" s="31"/>
      <c r="K143" s="31"/>
      <c r="L143" s="8"/>
      <c r="M143" s="8"/>
      <c r="N143" s="8"/>
      <c r="O143" s="8"/>
      <c r="P143" s="8"/>
      <c r="Q143" s="8"/>
    </row>
    <row r="144" spans="1:17" ht="12.75" customHeight="1" x14ac:dyDescent="0.25">
      <c r="A144" s="18"/>
      <c r="B144" s="53"/>
      <c r="C144" s="57" t="s">
        <v>217</v>
      </c>
      <c r="D144" s="83">
        <v>17</v>
      </c>
      <c r="E144" s="83">
        <f>2+4.2+13+2.5+5+2.5+2.5+2.5+3+4+2+1.5+13+3+5+3.5+5.5</f>
        <v>74.7</v>
      </c>
      <c r="F144" s="83">
        <v>17</v>
      </c>
      <c r="G144" s="83">
        <v>74.7</v>
      </c>
      <c r="H144" s="87">
        <v>0</v>
      </c>
      <c r="I144" s="24"/>
      <c r="J144" s="31"/>
      <c r="K144" s="31"/>
      <c r="L144" s="8"/>
      <c r="M144" s="8"/>
      <c r="N144" s="8"/>
      <c r="O144" s="8"/>
      <c r="P144" s="8"/>
      <c r="Q144" s="8"/>
    </row>
    <row r="145" spans="1:17" ht="12.75" customHeight="1" x14ac:dyDescent="0.25">
      <c r="A145" s="18"/>
      <c r="B145" s="53"/>
      <c r="C145" s="50" t="s">
        <v>218</v>
      </c>
      <c r="D145" s="83">
        <v>4</v>
      </c>
      <c r="E145" s="83">
        <f>5+6+4+8</f>
        <v>23</v>
      </c>
      <c r="F145" s="83">
        <v>4</v>
      </c>
      <c r="G145" s="83">
        <v>23</v>
      </c>
      <c r="H145" s="87">
        <v>0</v>
      </c>
      <c r="I145" s="24"/>
      <c r="J145" s="31">
        <v>1</v>
      </c>
      <c r="K145" s="31">
        <v>5</v>
      </c>
      <c r="L145" s="8"/>
      <c r="M145" s="8"/>
      <c r="N145" s="8"/>
      <c r="O145" s="8"/>
      <c r="P145" s="8"/>
      <c r="Q145" s="8"/>
    </row>
    <row r="146" spans="1:17" ht="12.75" customHeight="1" x14ac:dyDescent="0.25">
      <c r="A146" s="18"/>
      <c r="B146" s="53"/>
      <c r="C146" s="50" t="s">
        <v>219</v>
      </c>
      <c r="D146" s="83">
        <v>3</v>
      </c>
      <c r="E146" s="83">
        <f>3+3+2.5</f>
        <v>8.5</v>
      </c>
      <c r="F146" s="83">
        <v>3</v>
      </c>
      <c r="G146" s="83">
        <v>8.5</v>
      </c>
      <c r="H146" s="87">
        <v>0</v>
      </c>
      <c r="I146" s="24"/>
      <c r="J146" s="31"/>
      <c r="K146" s="31"/>
      <c r="L146" s="8"/>
      <c r="M146" s="8"/>
      <c r="N146" s="8"/>
      <c r="O146" s="8"/>
      <c r="P146" s="8"/>
      <c r="Q146" s="8"/>
    </row>
    <row r="147" spans="1:17" ht="12.75" customHeight="1" x14ac:dyDescent="0.25">
      <c r="A147" s="18"/>
      <c r="B147" s="53"/>
      <c r="C147" s="50" t="s">
        <v>220</v>
      </c>
      <c r="D147" s="84">
        <v>11</v>
      </c>
      <c r="E147" s="84">
        <f>14.5+5+13+10+5+10+4+13+15+5+8</f>
        <v>102.5</v>
      </c>
      <c r="F147" s="84">
        <v>11</v>
      </c>
      <c r="G147" s="84">
        <v>102.5</v>
      </c>
      <c r="H147" s="87">
        <v>0</v>
      </c>
      <c r="I147" s="63"/>
      <c r="J147" s="63"/>
      <c r="K147" s="63"/>
      <c r="L147" s="8"/>
      <c r="M147" s="8"/>
      <c r="N147" s="8"/>
      <c r="O147" s="8"/>
      <c r="P147" s="8"/>
      <c r="Q147" s="8"/>
    </row>
    <row r="148" spans="1:17" ht="12.75" customHeight="1" x14ac:dyDescent="0.25">
      <c r="A148" s="18"/>
      <c r="B148" s="53"/>
      <c r="C148" s="50" t="s">
        <v>221</v>
      </c>
      <c r="D148" s="83">
        <v>1</v>
      </c>
      <c r="E148" s="83">
        <v>3</v>
      </c>
      <c r="F148" s="83">
        <v>1</v>
      </c>
      <c r="G148" s="83">
        <v>3</v>
      </c>
      <c r="H148" s="87">
        <v>0</v>
      </c>
      <c r="I148" s="24"/>
      <c r="J148" s="31"/>
      <c r="K148" s="31"/>
      <c r="L148" s="8"/>
      <c r="M148" s="8"/>
      <c r="N148" s="8"/>
      <c r="O148" s="8"/>
      <c r="P148" s="8"/>
      <c r="Q148" s="8"/>
    </row>
    <row r="149" spans="1:17" ht="12.75" customHeight="1" x14ac:dyDescent="0.25">
      <c r="A149" s="18"/>
      <c r="B149" s="53"/>
      <c r="C149" s="50" t="s">
        <v>222</v>
      </c>
      <c r="D149" s="83">
        <v>1</v>
      </c>
      <c r="E149" s="83">
        <v>5</v>
      </c>
      <c r="F149" s="83">
        <v>1</v>
      </c>
      <c r="G149" s="83">
        <v>5</v>
      </c>
      <c r="H149" s="87">
        <v>0</v>
      </c>
      <c r="I149" s="24"/>
      <c r="J149" s="31"/>
      <c r="K149" s="31"/>
      <c r="L149" s="8"/>
      <c r="M149" s="8"/>
      <c r="N149" s="8"/>
      <c r="O149" s="8"/>
      <c r="P149" s="8"/>
      <c r="Q149" s="8"/>
    </row>
    <row r="150" spans="1:17" ht="18.75" customHeight="1" x14ac:dyDescent="0.2">
      <c r="A150" s="18"/>
      <c r="B150" s="53"/>
      <c r="C150" s="19" t="s">
        <v>30</v>
      </c>
      <c r="D150" s="83">
        <f>SUM(D101:D149)</f>
        <v>342</v>
      </c>
      <c r="E150" s="83">
        <f t="shared" ref="E150:Q150" si="2">SUM(E101:E149)</f>
        <v>2638.1000000000004</v>
      </c>
      <c r="F150" s="83">
        <f t="shared" si="2"/>
        <v>264</v>
      </c>
      <c r="G150" s="83">
        <f t="shared" si="2"/>
        <v>1998.6000000000001</v>
      </c>
      <c r="H150" s="83">
        <f t="shared" si="2"/>
        <v>0</v>
      </c>
      <c r="I150" s="83">
        <f t="shared" si="2"/>
        <v>0</v>
      </c>
      <c r="J150" s="83">
        <f t="shared" si="2"/>
        <v>287</v>
      </c>
      <c r="K150" s="83">
        <f t="shared" si="2"/>
        <v>1688</v>
      </c>
      <c r="L150" s="83">
        <f t="shared" si="2"/>
        <v>0</v>
      </c>
      <c r="M150" s="83">
        <f t="shared" si="2"/>
        <v>0</v>
      </c>
      <c r="N150" s="83">
        <f t="shared" si="2"/>
        <v>0</v>
      </c>
      <c r="O150" s="83">
        <f t="shared" si="2"/>
        <v>0</v>
      </c>
      <c r="P150" s="83">
        <f t="shared" si="2"/>
        <v>0</v>
      </c>
      <c r="Q150" s="83">
        <f t="shared" si="2"/>
        <v>0</v>
      </c>
    </row>
    <row r="151" spans="1:17" ht="15" x14ac:dyDescent="0.25">
      <c r="A151" s="18"/>
      <c r="B151" s="18"/>
      <c r="C151" s="66" t="s">
        <v>250</v>
      </c>
      <c r="D151" s="31"/>
      <c r="E151" s="31"/>
      <c r="F151" s="31"/>
      <c r="G151" s="31"/>
      <c r="H151" s="87">
        <v>0</v>
      </c>
      <c r="I151" s="24"/>
      <c r="J151" s="31"/>
      <c r="K151" s="31"/>
      <c r="L151" s="8"/>
      <c r="M151" s="8"/>
      <c r="N151" s="8"/>
      <c r="O151" s="8"/>
      <c r="P151" s="8"/>
      <c r="Q151" s="8"/>
    </row>
    <row r="152" spans="1:17" ht="12.75" customHeight="1" x14ac:dyDescent="0.25">
      <c r="A152" s="18"/>
      <c r="B152" s="18"/>
      <c r="C152" s="18" t="s">
        <v>224</v>
      </c>
      <c r="D152" s="31">
        <v>74</v>
      </c>
      <c r="E152" s="31">
        <f>5+4+10+5+5+15+5+6+5+6+6+5+3+10+15+15</f>
        <v>120</v>
      </c>
      <c r="F152" s="31">
        <v>16</v>
      </c>
      <c r="G152" s="31">
        <v>74</v>
      </c>
      <c r="H152" s="87">
        <v>0</v>
      </c>
      <c r="I152" s="24"/>
      <c r="J152" s="31">
        <v>24</v>
      </c>
      <c r="K152" s="31">
        <v>186</v>
      </c>
      <c r="L152" s="8"/>
      <c r="M152" s="8"/>
      <c r="N152" s="8"/>
      <c r="O152" s="8"/>
      <c r="P152" s="8"/>
      <c r="Q152" s="8"/>
    </row>
    <row r="153" spans="1:17" ht="12.75" customHeight="1" x14ac:dyDescent="0.25">
      <c r="A153" s="18"/>
      <c r="B153" s="18"/>
      <c r="C153" s="18" t="s">
        <v>225</v>
      </c>
      <c r="D153" s="31">
        <v>45</v>
      </c>
      <c r="E153" s="31">
        <v>120</v>
      </c>
      <c r="F153" s="31">
        <v>5</v>
      </c>
      <c r="G153" s="31">
        <v>43</v>
      </c>
      <c r="H153" s="87">
        <v>0</v>
      </c>
      <c r="I153" s="24"/>
      <c r="J153" s="31">
        <v>12</v>
      </c>
      <c r="K153" s="31">
        <v>96</v>
      </c>
      <c r="L153" s="8"/>
      <c r="M153" s="8"/>
      <c r="N153" s="8"/>
      <c r="O153" s="8"/>
      <c r="P153" s="8"/>
      <c r="Q153" s="8"/>
    </row>
    <row r="154" spans="1:17" ht="12.75" customHeight="1" x14ac:dyDescent="0.25">
      <c r="A154" s="18"/>
      <c r="B154" s="18"/>
      <c r="C154" s="18" t="s">
        <v>346</v>
      </c>
      <c r="D154" s="31">
        <v>7</v>
      </c>
      <c r="E154" s="31">
        <v>20</v>
      </c>
      <c r="F154" s="31"/>
      <c r="G154" s="31"/>
      <c r="H154" s="87">
        <v>0</v>
      </c>
      <c r="I154" s="24"/>
      <c r="J154" s="31"/>
      <c r="K154" s="31"/>
      <c r="L154" s="8"/>
      <c r="M154" s="8"/>
      <c r="N154" s="8"/>
      <c r="O154" s="8"/>
      <c r="P154" s="8"/>
      <c r="Q154" s="8"/>
    </row>
    <row r="155" spans="1:17" ht="12.75" customHeight="1" x14ac:dyDescent="0.25">
      <c r="A155" s="18"/>
      <c r="B155" s="18"/>
      <c r="C155" s="18" t="s">
        <v>226</v>
      </c>
      <c r="D155" s="31">
        <v>1</v>
      </c>
      <c r="E155" s="31">
        <v>15</v>
      </c>
      <c r="F155" s="31">
        <v>1</v>
      </c>
      <c r="G155" s="31">
        <v>15</v>
      </c>
      <c r="H155" s="87">
        <v>0</v>
      </c>
      <c r="I155" s="24"/>
      <c r="J155" s="31">
        <v>1</v>
      </c>
      <c r="K155" s="31">
        <v>6</v>
      </c>
      <c r="L155" s="8"/>
      <c r="M155" s="8"/>
      <c r="N155" s="8"/>
      <c r="O155" s="8"/>
      <c r="P155" s="8"/>
      <c r="Q155" s="8"/>
    </row>
    <row r="156" spans="1:17" ht="12.75" customHeight="1" x14ac:dyDescent="0.25">
      <c r="A156" s="18"/>
      <c r="B156" s="18"/>
      <c r="C156" s="18" t="s">
        <v>227</v>
      </c>
      <c r="D156" s="31"/>
      <c r="E156" s="31"/>
      <c r="F156" s="31"/>
      <c r="G156" s="31"/>
      <c r="H156" s="87">
        <v>0</v>
      </c>
      <c r="I156" s="24"/>
      <c r="J156" s="31"/>
      <c r="K156" s="31"/>
      <c r="L156" s="8"/>
      <c r="M156" s="8"/>
      <c r="N156" s="8"/>
      <c r="O156" s="8"/>
      <c r="P156" s="8"/>
      <c r="Q156" s="8"/>
    </row>
    <row r="157" spans="1:17" ht="12.75" customHeight="1" x14ac:dyDescent="0.25">
      <c r="A157" s="18"/>
      <c r="B157" s="18"/>
      <c r="C157" s="18" t="s">
        <v>228</v>
      </c>
      <c r="D157" s="31">
        <v>1</v>
      </c>
      <c r="E157" s="31">
        <v>15</v>
      </c>
      <c r="F157" s="31">
        <v>1</v>
      </c>
      <c r="G157" s="31">
        <v>15</v>
      </c>
      <c r="H157" s="87">
        <v>0</v>
      </c>
      <c r="I157" s="24"/>
      <c r="J157" s="31">
        <v>3</v>
      </c>
      <c r="K157" s="31">
        <v>18</v>
      </c>
      <c r="L157" s="8"/>
      <c r="M157" s="8"/>
      <c r="N157" s="8"/>
      <c r="O157" s="8"/>
      <c r="P157" s="8"/>
      <c r="Q157" s="8"/>
    </row>
    <row r="158" spans="1:17" ht="12.75" customHeight="1" x14ac:dyDescent="0.25">
      <c r="A158" s="18"/>
      <c r="B158" s="18"/>
      <c r="C158" s="18" t="s">
        <v>229</v>
      </c>
      <c r="D158" s="63"/>
      <c r="E158" s="63"/>
      <c r="F158" s="63"/>
      <c r="G158" s="63"/>
      <c r="H158" s="87">
        <v>0</v>
      </c>
      <c r="I158" s="63"/>
      <c r="J158" s="63"/>
      <c r="K158" s="63"/>
      <c r="L158" s="8"/>
      <c r="M158" s="8"/>
      <c r="N158" s="8"/>
      <c r="O158" s="8"/>
      <c r="P158" s="8"/>
      <c r="Q158" s="8"/>
    </row>
    <row r="159" spans="1:17" ht="12.75" customHeight="1" x14ac:dyDescent="0.25">
      <c r="A159" s="18"/>
      <c r="B159" s="18"/>
      <c r="C159" s="18" t="s">
        <v>230</v>
      </c>
      <c r="D159" s="31">
        <v>2</v>
      </c>
      <c r="E159" s="31">
        <v>7</v>
      </c>
      <c r="F159" s="31"/>
      <c r="G159" s="31"/>
      <c r="H159" s="87">
        <v>0</v>
      </c>
      <c r="I159" s="24"/>
      <c r="J159" s="31"/>
      <c r="K159" s="31"/>
      <c r="L159" s="8"/>
      <c r="M159" s="8"/>
      <c r="N159" s="8"/>
      <c r="O159" s="8"/>
      <c r="P159" s="8"/>
      <c r="Q159" s="8"/>
    </row>
    <row r="160" spans="1:17" ht="12.75" customHeight="1" x14ac:dyDescent="0.25">
      <c r="A160" s="18"/>
      <c r="B160" s="18"/>
      <c r="C160" s="18" t="s">
        <v>231</v>
      </c>
      <c r="D160" s="31"/>
      <c r="E160" s="31"/>
      <c r="F160" s="31"/>
      <c r="G160" s="31"/>
      <c r="H160" s="87">
        <v>0</v>
      </c>
      <c r="I160" s="24"/>
      <c r="J160" s="31"/>
      <c r="K160" s="31"/>
      <c r="L160" s="8"/>
      <c r="M160" s="8"/>
      <c r="N160" s="8"/>
      <c r="O160" s="8"/>
      <c r="P160" s="8"/>
      <c r="Q160" s="8"/>
    </row>
    <row r="161" spans="1:17" ht="12.75" customHeight="1" x14ac:dyDescent="0.25">
      <c r="A161" s="18"/>
      <c r="B161" s="18"/>
      <c r="C161" s="18" t="s">
        <v>232</v>
      </c>
      <c r="D161" s="31">
        <v>5</v>
      </c>
      <c r="E161" s="31">
        <v>19</v>
      </c>
      <c r="F161" s="31"/>
      <c r="G161" s="31"/>
      <c r="H161" s="87">
        <v>0</v>
      </c>
      <c r="I161" s="24"/>
      <c r="J161" s="31">
        <v>6</v>
      </c>
      <c r="K161" s="31">
        <v>36</v>
      </c>
      <c r="L161" s="8"/>
      <c r="M161" s="8"/>
      <c r="N161" s="8"/>
      <c r="O161" s="8"/>
      <c r="P161" s="8"/>
      <c r="Q161" s="8"/>
    </row>
    <row r="162" spans="1:17" ht="12.75" customHeight="1" x14ac:dyDescent="0.25">
      <c r="A162" s="18"/>
      <c r="B162" s="18"/>
      <c r="C162" s="18" t="s">
        <v>233</v>
      </c>
      <c r="D162" s="31"/>
      <c r="E162" s="31"/>
      <c r="F162" s="31"/>
      <c r="G162" s="31"/>
      <c r="H162" s="87">
        <v>0</v>
      </c>
      <c r="I162" s="24"/>
      <c r="J162" s="31"/>
      <c r="K162" s="31"/>
      <c r="L162" s="8"/>
      <c r="M162" s="8"/>
      <c r="N162" s="8"/>
      <c r="O162" s="8"/>
      <c r="P162" s="8"/>
      <c r="Q162" s="8"/>
    </row>
    <row r="163" spans="1:17" ht="12.75" customHeight="1" x14ac:dyDescent="0.25">
      <c r="A163" s="18"/>
      <c r="B163" s="18"/>
      <c r="C163" s="18" t="s">
        <v>234</v>
      </c>
      <c r="D163" s="31">
        <v>1</v>
      </c>
      <c r="E163" s="31">
        <v>5</v>
      </c>
      <c r="F163" s="31">
        <v>1</v>
      </c>
      <c r="G163" s="31">
        <v>5</v>
      </c>
      <c r="H163" s="87">
        <v>0</v>
      </c>
      <c r="I163" s="24"/>
      <c r="J163" s="31">
        <v>8</v>
      </c>
      <c r="K163" s="31">
        <v>48</v>
      </c>
      <c r="L163" s="8"/>
      <c r="M163" s="8"/>
      <c r="N163" s="8"/>
      <c r="O163" s="8"/>
      <c r="P163" s="8"/>
      <c r="Q163" s="8"/>
    </row>
    <row r="164" spans="1:17" ht="12.75" customHeight="1" x14ac:dyDescent="0.25">
      <c r="A164" s="18"/>
      <c r="B164" s="18"/>
      <c r="C164" s="18" t="s">
        <v>235</v>
      </c>
      <c r="D164" s="31">
        <v>2</v>
      </c>
      <c r="E164" s="31">
        <v>11</v>
      </c>
      <c r="F164" s="31">
        <v>1</v>
      </c>
      <c r="G164" s="31">
        <v>11</v>
      </c>
      <c r="H164" s="87">
        <v>0</v>
      </c>
      <c r="I164" s="24"/>
      <c r="J164" s="31"/>
      <c r="K164" s="31"/>
      <c r="L164" s="8"/>
      <c r="M164" s="8"/>
      <c r="N164" s="8"/>
      <c r="O164" s="8"/>
      <c r="P164" s="8"/>
      <c r="Q164" s="8"/>
    </row>
    <row r="165" spans="1:17" ht="12.75" customHeight="1" x14ac:dyDescent="0.25">
      <c r="A165" s="18"/>
      <c r="B165" s="18"/>
      <c r="C165" s="18" t="s">
        <v>347</v>
      </c>
      <c r="D165" s="31"/>
      <c r="E165" s="31"/>
      <c r="F165" s="31"/>
      <c r="G165" s="31"/>
      <c r="H165" s="87">
        <v>0</v>
      </c>
      <c r="I165" s="24"/>
      <c r="J165" s="31"/>
      <c r="K165" s="31"/>
      <c r="L165" s="8"/>
      <c r="M165" s="8"/>
      <c r="N165" s="8"/>
      <c r="O165" s="8"/>
      <c r="P165" s="8"/>
      <c r="Q165" s="8"/>
    </row>
    <row r="166" spans="1:17" ht="12.75" customHeight="1" x14ac:dyDescent="0.25">
      <c r="A166" s="18"/>
      <c r="B166" s="18"/>
      <c r="C166" s="18" t="s">
        <v>236</v>
      </c>
      <c r="D166" s="31">
        <v>13</v>
      </c>
      <c r="E166" s="31">
        <f>5+15+8+8+10+8+8+8</f>
        <v>70</v>
      </c>
      <c r="F166" s="31">
        <v>8</v>
      </c>
      <c r="G166" s="31">
        <v>70</v>
      </c>
      <c r="H166" s="87">
        <v>0</v>
      </c>
      <c r="I166" s="24"/>
      <c r="J166" s="31">
        <v>15</v>
      </c>
      <c r="K166" s="31">
        <v>49</v>
      </c>
      <c r="L166" s="8"/>
      <c r="M166" s="8"/>
      <c r="N166" s="8"/>
      <c r="O166" s="8"/>
      <c r="P166" s="8"/>
      <c r="Q166" s="8"/>
    </row>
    <row r="167" spans="1:17" ht="12.75" customHeight="1" x14ac:dyDescent="0.25">
      <c r="A167" s="18"/>
      <c r="B167" s="18"/>
      <c r="C167" s="18" t="s">
        <v>237</v>
      </c>
      <c r="D167" s="31">
        <v>4</v>
      </c>
      <c r="E167" s="31">
        <f>6+10+8+10</f>
        <v>34</v>
      </c>
      <c r="F167" s="31">
        <v>4</v>
      </c>
      <c r="G167" s="31">
        <v>34</v>
      </c>
      <c r="H167" s="87">
        <v>0</v>
      </c>
      <c r="I167" s="24"/>
      <c r="J167" s="31">
        <v>6</v>
      </c>
      <c r="K167" s="31">
        <v>46</v>
      </c>
      <c r="L167" s="8"/>
      <c r="M167" s="8"/>
      <c r="N167" s="8"/>
      <c r="O167" s="8"/>
      <c r="P167" s="8"/>
      <c r="Q167" s="8"/>
    </row>
    <row r="168" spans="1:17" ht="12.75" customHeight="1" x14ac:dyDescent="0.25">
      <c r="A168" s="18"/>
      <c r="B168" s="18"/>
      <c r="C168" s="18" t="s">
        <v>238</v>
      </c>
      <c r="D168" s="31">
        <v>5</v>
      </c>
      <c r="E168" s="31">
        <v>24</v>
      </c>
      <c r="F168" s="31"/>
      <c r="G168" s="31"/>
      <c r="H168" s="87">
        <v>0</v>
      </c>
      <c r="I168" s="24"/>
      <c r="J168" s="31"/>
      <c r="K168" s="31"/>
      <c r="L168" s="8"/>
      <c r="M168" s="8"/>
      <c r="N168" s="8"/>
      <c r="O168" s="8"/>
      <c r="P168" s="8"/>
      <c r="Q168" s="8"/>
    </row>
    <row r="169" spans="1:17" ht="12.75" customHeight="1" x14ac:dyDescent="0.25">
      <c r="A169" s="18"/>
      <c r="B169" s="18"/>
      <c r="C169" s="18" t="s">
        <v>239</v>
      </c>
      <c r="D169" s="31">
        <v>2</v>
      </c>
      <c r="E169" s="31">
        <f>10+6</f>
        <v>16</v>
      </c>
      <c r="F169" s="31">
        <v>2</v>
      </c>
      <c r="G169" s="31">
        <v>16</v>
      </c>
      <c r="H169" s="87">
        <v>0</v>
      </c>
      <c r="I169" s="24"/>
      <c r="J169" s="31"/>
      <c r="K169" s="31"/>
      <c r="L169" s="8"/>
      <c r="M169" s="8"/>
      <c r="N169" s="8"/>
      <c r="O169" s="8"/>
      <c r="P169" s="8"/>
      <c r="Q169" s="8"/>
    </row>
    <row r="170" spans="1:17" ht="12.75" customHeight="1" x14ac:dyDescent="0.25">
      <c r="A170" s="18"/>
      <c r="B170" s="18"/>
      <c r="C170" s="18" t="s">
        <v>240</v>
      </c>
      <c r="D170" s="63"/>
      <c r="E170" s="63"/>
      <c r="F170" s="63"/>
      <c r="G170" s="63"/>
      <c r="H170" s="87">
        <v>0</v>
      </c>
      <c r="I170" s="63"/>
      <c r="J170" s="63"/>
      <c r="K170" s="63"/>
      <c r="L170" s="8"/>
      <c r="M170" s="8"/>
      <c r="N170" s="8"/>
      <c r="O170" s="8"/>
      <c r="P170" s="8"/>
      <c r="Q170" s="8"/>
    </row>
    <row r="171" spans="1:17" ht="12.75" customHeight="1" x14ac:dyDescent="0.25">
      <c r="A171" s="18"/>
      <c r="B171" s="18"/>
      <c r="C171" s="18" t="s">
        <v>241</v>
      </c>
      <c r="D171" s="31">
        <v>10</v>
      </c>
      <c r="E171" s="31">
        <f>5+5+5+3+3+3+15+5+5+5</f>
        <v>54</v>
      </c>
      <c r="F171" s="31">
        <v>10</v>
      </c>
      <c r="G171" s="31">
        <v>54</v>
      </c>
      <c r="H171" s="87">
        <v>0</v>
      </c>
      <c r="I171" s="63"/>
      <c r="J171" s="31">
        <v>31</v>
      </c>
      <c r="K171" s="31">
        <v>99</v>
      </c>
      <c r="L171" s="8"/>
      <c r="M171" s="8"/>
      <c r="N171" s="8"/>
      <c r="O171" s="8"/>
      <c r="P171" s="8"/>
      <c r="Q171" s="8"/>
    </row>
    <row r="172" spans="1:17" ht="12.75" customHeight="1" x14ac:dyDescent="0.25">
      <c r="A172" s="18"/>
      <c r="B172" s="18"/>
      <c r="C172" s="18" t="s">
        <v>242</v>
      </c>
      <c r="D172" s="31"/>
      <c r="E172" s="31"/>
      <c r="F172" s="31"/>
      <c r="G172" s="31"/>
      <c r="H172" s="87">
        <v>0</v>
      </c>
      <c r="I172" s="63"/>
      <c r="J172" s="31"/>
      <c r="K172" s="31"/>
      <c r="L172" s="8"/>
      <c r="M172" s="8"/>
      <c r="N172" s="8"/>
      <c r="O172" s="8"/>
      <c r="P172" s="8"/>
      <c r="Q172" s="8"/>
    </row>
    <row r="173" spans="1:17" ht="12.75" customHeight="1" x14ac:dyDescent="0.25">
      <c r="A173" s="18"/>
      <c r="B173" s="18"/>
      <c r="C173" s="18" t="s">
        <v>348</v>
      </c>
      <c r="D173" s="31">
        <v>5</v>
      </c>
      <c r="E173" s="31">
        <v>20</v>
      </c>
      <c r="F173" s="31"/>
      <c r="G173" s="31"/>
      <c r="H173" s="87">
        <v>0</v>
      </c>
      <c r="I173" s="63"/>
      <c r="J173" s="31"/>
      <c r="K173" s="31"/>
      <c r="L173" s="8"/>
      <c r="M173" s="8"/>
      <c r="N173" s="8"/>
      <c r="O173" s="8"/>
      <c r="P173" s="8"/>
      <c r="Q173" s="8"/>
    </row>
    <row r="174" spans="1:17" ht="12.75" customHeight="1" x14ac:dyDescent="0.25">
      <c r="A174" s="18"/>
      <c r="B174" s="18"/>
      <c r="C174" s="18" t="s">
        <v>243</v>
      </c>
      <c r="D174" s="31"/>
      <c r="E174" s="31"/>
      <c r="F174" s="31"/>
      <c r="G174" s="31"/>
      <c r="H174" s="87">
        <v>0</v>
      </c>
      <c r="I174" s="63"/>
      <c r="J174" s="31"/>
      <c r="K174" s="31"/>
      <c r="L174" s="8"/>
      <c r="M174" s="8"/>
      <c r="N174" s="8"/>
      <c r="O174" s="8"/>
      <c r="P174" s="8"/>
      <c r="Q174" s="8"/>
    </row>
    <row r="175" spans="1:17" ht="12.75" customHeight="1" x14ac:dyDescent="0.25">
      <c r="A175" s="18"/>
      <c r="B175" s="18"/>
      <c r="C175" s="18" t="s">
        <v>349</v>
      </c>
      <c r="D175" s="31">
        <v>15</v>
      </c>
      <c r="E175" s="31">
        <f>15+10+15+15+10+15+10+15+10+10</f>
        <v>125</v>
      </c>
      <c r="F175" s="31">
        <v>10</v>
      </c>
      <c r="G175" s="31">
        <v>78</v>
      </c>
      <c r="H175" s="87">
        <v>0</v>
      </c>
      <c r="I175" s="63"/>
      <c r="J175" s="31"/>
      <c r="K175" s="31"/>
      <c r="L175" s="8"/>
      <c r="M175" s="8"/>
      <c r="N175" s="8"/>
      <c r="O175" s="8"/>
      <c r="P175" s="8"/>
      <c r="Q175" s="8"/>
    </row>
    <row r="176" spans="1:17" ht="12.75" customHeight="1" x14ac:dyDescent="0.25">
      <c r="A176" s="18"/>
      <c r="B176" s="18"/>
      <c r="C176" s="18" t="s">
        <v>244</v>
      </c>
      <c r="D176" s="31">
        <v>2</v>
      </c>
      <c r="E176" s="31">
        <f>8+7</f>
        <v>15</v>
      </c>
      <c r="F176" s="31">
        <v>2</v>
      </c>
      <c r="G176" s="31">
        <v>15</v>
      </c>
      <c r="H176" s="87">
        <v>0</v>
      </c>
      <c r="I176" s="63"/>
      <c r="J176" s="31">
        <v>2</v>
      </c>
      <c r="K176" s="31">
        <v>8</v>
      </c>
      <c r="L176" s="8"/>
      <c r="M176" s="8"/>
      <c r="N176" s="8"/>
      <c r="O176" s="8"/>
      <c r="P176" s="8"/>
      <c r="Q176" s="8"/>
    </row>
    <row r="177" spans="1:17" ht="12.75" customHeight="1" x14ac:dyDescent="0.25">
      <c r="A177" s="18"/>
      <c r="B177" s="18"/>
      <c r="C177" s="18" t="s">
        <v>245</v>
      </c>
      <c r="D177" s="31">
        <v>1</v>
      </c>
      <c r="E177" s="31">
        <v>15</v>
      </c>
      <c r="F177" s="31">
        <v>1</v>
      </c>
      <c r="G177" s="31">
        <v>15</v>
      </c>
      <c r="H177" s="87">
        <v>0</v>
      </c>
      <c r="I177" s="63"/>
      <c r="J177" s="31"/>
      <c r="K177" s="31"/>
      <c r="L177" s="8"/>
      <c r="M177" s="8"/>
      <c r="N177" s="8"/>
      <c r="O177" s="8"/>
      <c r="P177" s="8"/>
      <c r="Q177" s="8"/>
    </row>
    <row r="178" spans="1:17" ht="12.75" customHeight="1" x14ac:dyDescent="0.25">
      <c r="A178" s="18"/>
      <c r="B178" s="18"/>
      <c r="C178" s="18" t="s">
        <v>246</v>
      </c>
      <c r="D178" s="31">
        <v>1</v>
      </c>
      <c r="E178" s="31">
        <v>12</v>
      </c>
      <c r="F178" s="31">
        <v>1</v>
      </c>
      <c r="G178" s="31">
        <v>12</v>
      </c>
      <c r="H178" s="87">
        <v>0</v>
      </c>
      <c r="I178" s="63"/>
      <c r="J178" s="31"/>
      <c r="K178" s="31"/>
      <c r="L178" s="8"/>
      <c r="M178" s="8"/>
      <c r="N178" s="8"/>
      <c r="O178" s="8"/>
      <c r="P178" s="8"/>
      <c r="Q178" s="8"/>
    </row>
    <row r="179" spans="1:17" ht="12.75" customHeight="1" x14ac:dyDescent="0.25">
      <c r="A179" s="18"/>
      <c r="B179" s="18"/>
      <c r="C179" s="18" t="s">
        <v>247</v>
      </c>
      <c r="D179" s="31">
        <v>6</v>
      </c>
      <c r="E179" s="31">
        <f>15+12+9</f>
        <v>36</v>
      </c>
      <c r="F179" s="31">
        <v>3</v>
      </c>
      <c r="G179" s="31">
        <v>36</v>
      </c>
      <c r="H179" s="87">
        <v>0</v>
      </c>
      <c r="I179" s="63"/>
      <c r="J179" s="31">
        <v>3</v>
      </c>
      <c r="K179" s="31">
        <v>15</v>
      </c>
      <c r="L179" s="8"/>
      <c r="M179" s="8"/>
      <c r="N179" s="8"/>
      <c r="O179" s="8"/>
      <c r="P179" s="8"/>
      <c r="Q179" s="8"/>
    </row>
    <row r="180" spans="1:17" ht="12.75" customHeight="1" x14ac:dyDescent="0.25">
      <c r="A180" s="18"/>
      <c r="B180" s="18"/>
      <c r="C180" s="18" t="s">
        <v>249</v>
      </c>
      <c r="D180" s="31"/>
      <c r="E180" s="31"/>
      <c r="F180" s="31"/>
      <c r="G180" s="31"/>
      <c r="H180" s="87">
        <v>0</v>
      </c>
      <c r="I180" s="63"/>
      <c r="J180" s="31"/>
      <c r="K180" s="31"/>
      <c r="L180" s="8"/>
      <c r="M180" s="8"/>
      <c r="N180" s="8"/>
      <c r="O180" s="8"/>
      <c r="P180" s="8"/>
      <c r="Q180" s="8"/>
    </row>
    <row r="181" spans="1:17" ht="12.75" customHeight="1" x14ac:dyDescent="0.25">
      <c r="A181" s="18"/>
      <c r="B181" s="18"/>
      <c r="C181" s="54" t="s">
        <v>248</v>
      </c>
      <c r="D181" s="31">
        <v>14</v>
      </c>
      <c r="E181" s="31">
        <f>15+4+10+8+8+15+15+8</f>
        <v>83</v>
      </c>
      <c r="F181" s="31">
        <v>8</v>
      </c>
      <c r="G181" s="31">
        <v>83</v>
      </c>
      <c r="H181" s="87">
        <v>0</v>
      </c>
      <c r="I181" s="63"/>
      <c r="J181" s="31"/>
      <c r="K181" s="31"/>
      <c r="L181" s="8"/>
      <c r="M181" s="8"/>
      <c r="N181" s="8"/>
      <c r="O181" s="8"/>
      <c r="P181" s="8"/>
      <c r="Q181" s="8"/>
    </row>
    <row r="182" spans="1:17" ht="12.75" customHeight="1" x14ac:dyDescent="0.2">
      <c r="A182" s="18"/>
      <c r="B182" s="18"/>
      <c r="C182" s="19" t="s">
        <v>30</v>
      </c>
      <c r="D182" s="31">
        <f>SUM(D152:D181)</f>
        <v>216</v>
      </c>
      <c r="E182" s="31">
        <f t="shared" ref="E182:Q182" si="3">SUM(E152:E181)</f>
        <v>836</v>
      </c>
      <c r="F182" s="31">
        <f t="shared" si="3"/>
        <v>74</v>
      </c>
      <c r="G182" s="31">
        <f t="shared" si="3"/>
        <v>576</v>
      </c>
      <c r="H182" s="31">
        <f t="shared" si="3"/>
        <v>0</v>
      </c>
      <c r="I182" s="31">
        <f t="shared" si="3"/>
        <v>0</v>
      </c>
      <c r="J182" s="31">
        <f t="shared" si="3"/>
        <v>111</v>
      </c>
      <c r="K182" s="31">
        <f t="shared" si="3"/>
        <v>607</v>
      </c>
      <c r="L182" s="31">
        <f t="shared" si="3"/>
        <v>0</v>
      </c>
      <c r="M182" s="31">
        <f t="shared" si="3"/>
        <v>0</v>
      </c>
      <c r="N182" s="31">
        <f t="shared" si="3"/>
        <v>0</v>
      </c>
      <c r="O182" s="31">
        <f t="shared" si="3"/>
        <v>0</v>
      </c>
      <c r="P182" s="31">
        <f t="shared" si="3"/>
        <v>0</v>
      </c>
      <c r="Q182" s="31">
        <f t="shared" si="3"/>
        <v>0</v>
      </c>
    </row>
    <row r="183" spans="1:17" ht="15" x14ac:dyDescent="0.25">
      <c r="A183" s="18"/>
      <c r="B183" s="18"/>
      <c r="C183" s="58" t="s">
        <v>259</v>
      </c>
      <c r="D183" s="31"/>
      <c r="E183" s="31"/>
      <c r="F183" s="31"/>
      <c r="G183" s="31"/>
      <c r="H183" s="87">
        <v>0</v>
      </c>
      <c r="I183" s="63"/>
      <c r="J183" s="31"/>
      <c r="K183" s="31"/>
      <c r="L183" s="8"/>
      <c r="M183" s="8"/>
      <c r="N183" s="8"/>
      <c r="O183" s="8"/>
      <c r="P183" s="8"/>
      <c r="Q183" s="8"/>
    </row>
    <row r="184" spans="1:17" ht="12.75" customHeight="1" x14ac:dyDescent="0.25">
      <c r="A184" s="18"/>
      <c r="B184" s="53"/>
      <c r="C184" s="57" t="s">
        <v>251</v>
      </c>
      <c r="D184" s="102">
        <v>70</v>
      </c>
      <c r="E184" s="102">
        <v>201</v>
      </c>
      <c r="F184" s="31">
        <v>25</v>
      </c>
      <c r="G184" s="31">
        <v>60</v>
      </c>
      <c r="H184" s="87">
        <v>0</v>
      </c>
      <c r="I184" s="63"/>
      <c r="J184" s="31">
        <v>27</v>
      </c>
      <c r="K184" s="31">
        <v>150</v>
      </c>
      <c r="L184" s="8"/>
      <c r="M184" s="8"/>
      <c r="N184" s="8"/>
      <c r="O184" s="8"/>
      <c r="P184" s="8"/>
      <c r="Q184" s="8"/>
    </row>
    <row r="185" spans="1:17" ht="12.75" customHeight="1" x14ac:dyDescent="0.25">
      <c r="A185" s="18"/>
      <c r="B185" s="53"/>
      <c r="C185" s="50" t="s">
        <v>252</v>
      </c>
      <c r="D185" s="102">
        <v>48</v>
      </c>
      <c r="E185" s="102">
        <v>98</v>
      </c>
      <c r="F185" s="31">
        <v>8</v>
      </c>
      <c r="G185" s="31">
        <v>45</v>
      </c>
      <c r="H185" s="87">
        <v>0</v>
      </c>
      <c r="I185" s="63"/>
      <c r="J185" s="31"/>
      <c r="K185" s="31"/>
      <c r="L185" s="8"/>
      <c r="M185" s="8"/>
      <c r="N185" s="8"/>
      <c r="O185" s="8"/>
      <c r="P185" s="8"/>
      <c r="Q185" s="8"/>
    </row>
    <row r="186" spans="1:17" ht="12.75" customHeight="1" x14ac:dyDescent="0.25">
      <c r="A186" s="18"/>
      <c r="B186" s="53"/>
      <c r="C186" s="50" t="s">
        <v>253</v>
      </c>
      <c r="D186" s="102">
        <v>13</v>
      </c>
      <c r="E186" s="102">
        <v>75</v>
      </c>
      <c r="F186" s="31">
        <v>5</v>
      </c>
      <c r="G186" s="31">
        <v>48</v>
      </c>
      <c r="H186" s="87">
        <v>0</v>
      </c>
      <c r="I186" s="63"/>
      <c r="J186" s="31"/>
      <c r="K186" s="31"/>
      <c r="L186" s="8"/>
      <c r="M186" s="8"/>
      <c r="N186" s="8"/>
      <c r="O186" s="8"/>
      <c r="P186" s="8"/>
      <c r="Q186" s="8"/>
    </row>
    <row r="187" spans="1:17" ht="12.75" customHeight="1" x14ac:dyDescent="0.25">
      <c r="A187" s="18"/>
      <c r="B187" s="53"/>
      <c r="C187" s="50" t="s">
        <v>254</v>
      </c>
      <c r="D187" s="102">
        <v>8</v>
      </c>
      <c r="E187" s="102">
        <v>80</v>
      </c>
      <c r="F187" s="31">
        <v>7</v>
      </c>
      <c r="G187" s="31">
        <v>45</v>
      </c>
      <c r="H187" s="87">
        <v>0</v>
      </c>
      <c r="I187" s="63"/>
      <c r="J187" s="31"/>
      <c r="K187" s="31"/>
      <c r="L187" s="8"/>
      <c r="M187" s="8"/>
      <c r="N187" s="8"/>
      <c r="O187" s="8"/>
      <c r="P187" s="8"/>
      <c r="Q187" s="8"/>
    </row>
    <row r="188" spans="1:17" ht="12.75" customHeight="1" x14ac:dyDescent="0.25">
      <c r="A188" s="18"/>
      <c r="B188" s="53"/>
      <c r="C188" s="50" t="s">
        <v>255</v>
      </c>
      <c r="D188" s="102">
        <v>9</v>
      </c>
      <c r="E188" s="102">
        <v>93</v>
      </c>
      <c r="F188" s="31">
        <v>7</v>
      </c>
      <c r="G188" s="31">
        <v>65</v>
      </c>
      <c r="H188" s="87">
        <v>0</v>
      </c>
      <c r="I188" s="63"/>
      <c r="J188" s="31"/>
      <c r="K188" s="31"/>
      <c r="L188" s="8"/>
      <c r="M188" s="8"/>
      <c r="N188" s="8"/>
      <c r="O188" s="8"/>
      <c r="P188" s="8"/>
      <c r="Q188" s="8"/>
    </row>
    <row r="189" spans="1:17" ht="12.75" customHeight="1" x14ac:dyDescent="0.25">
      <c r="A189" s="18"/>
      <c r="B189" s="53"/>
      <c r="C189" s="50" t="s">
        <v>256</v>
      </c>
      <c r="D189" s="102">
        <v>5</v>
      </c>
      <c r="E189" s="102">
        <v>20</v>
      </c>
      <c r="F189" s="31">
        <v>5</v>
      </c>
      <c r="G189" s="31">
        <v>20</v>
      </c>
      <c r="H189" s="87">
        <v>0</v>
      </c>
      <c r="I189" s="63"/>
      <c r="J189" s="31"/>
      <c r="K189" s="31"/>
      <c r="L189" s="8"/>
      <c r="M189" s="8"/>
      <c r="N189" s="8"/>
      <c r="O189" s="8"/>
      <c r="P189" s="8"/>
      <c r="Q189" s="8"/>
    </row>
    <row r="190" spans="1:17" ht="12.75" customHeight="1" x14ac:dyDescent="0.25">
      <c r="A190" s="18"/>
      <c r="B190" s="53"/>
      <c r="C190" s="50" t="s">
        <v>257</v>
      </c>
      <c r="D190" s="102">
        <v>11</v>
      </c>
      <c r="E190" s="102">
        <v>70</v>
      </c>
      <c r="F190" s="31">
        <v>7</v>
      </c>
      <c r="G190" s="31">
        <v>55</v>
      </c>
      <c r="H190" s="87">
        <v>0</v>
      </c>
      <c r="I190" s="63"/>
      <c r="J190" s="31"/>
      <c r="K190" s="31"/>
      <c r="L190" s="8"/>
      <c r="M190" s="8"/>
      <c r="N190" s="8"/>
      <c r="O190" s="8"/>
      <c r="P190" s="8"/>
      <c r="Q190" s="8"/>
    </row>
    <row r="191" spans="1:17" ht="12.75" customHeight="1" x14ac:dyDescent="0.25">
      <c r="A191" s="18"/>
      <c r="B191" s="53"/>
      <c r="C191" s="50" t="s">
        <v>258</v>
      </c>
      <c r="D191" s="102">
        <v>4</v>
      </c>
      <c r="E191" s="102">
        <v>30</v>
      </c>
      <c r="F191" s="31">
        <v>4</v>
      </c>
      <c r="G191" s="31">
        <v>30</v>
      </c>
      <c r="H191" s="87">
        <v>0</v>
      </c>
      <c r="I191" s="63"/>
      <c r="J191" s="31"/>
      <c r="K191" s="31"/>
      <c r="L191" s="8"/>
      <c r="M191" s="8"/>
      <c r="N191" s="8"/>
      <c r="O191" s="8"/>
      <c r="P191" s="8"/>
      <c r="Q191" s="8"/>
    </row>
    <row r="192" spans="1:17" ht="12.75" customHeight="1" x14ac:dyDescent="0.25">
      <c r="A192" s="18"/>
      <c r="B192" s="53"/>
      <c r="C192" s="19" t="s">
        <v>30</v>
      </c>
      <c r="D192" s="31">
        <f>SUM(D184:D191)</f>
        <v>168</v>
      </c>
      <c r="E192" s="31">
        <f t="shared" ref="E192:K192" si="4">SUM(E184:E191)</f>
        <v>667</v>
      </c>
      <c r="F192" s="31">
        <f t="shared" si="4"/>
        <v>68</v>
      </c>
      <c r="G192" s="31">
        <f t="shared" si="4"/>
        <v>368</v>
      </c>
      <c r="H192" s="87">
        <v>0</v>
      </c>
      <c r="I192" s="31">
        <f t="shared" si="4"/>
        <v>0</v>
      </c>
      <c r="J192" s="31">
        <f t="shared" si="4"/>
        <v>27</v>
      </c>
      <c r="K192" s="31">
        <f t="shared" si="4"/>
        <v>150</v>
      </c>
      <c r="L192" s="8"/>
      <c r="M192" s="8"/>
      <c r="N192" s="8"/>
      <c r="O192" s="8"/>
      <c r="P192" s="8"/>
      <c r="Q192" s="8"/>
    </row>
    <row r="193" spans="1:17" ht="15" x14ac:dyDescent="0.25">
      <c r="A193" s="18"/>
      <c r="B193" s="53"/>
      <c r="C193" s="60" t="s">
        <v>265</v>
      </c>
      <c r="D193" s="31"/>
      <c r="E193" s="31"/>
      <c r="F193" s="31"/>
      <c r="G193" s="31"/>
      <c r="H193" s="87">
        <v>0</v>
      </c>
      <c r="I193" s="63"/>
      <c r="J193" s="31"/>
      <c r="K193" s="31"/>
      <c r="L193" s="8"/>
      <c r="M193" s="8"/>
      <c r="N193" s="8"/>
      <c r="O193" s="8"/>
      <c r="P193" s="8"/>
      <c r="Q193" s="8"/>
    </row>
    <row r="194" spans="1:17" ht="12.75" customHeight="1" x14ac:dyDescent="0.25">
      <c r="A194" s="18"/>
      <c r="B194" s="53"/>
      <c r="C194" s="50" t="s">
        <v>260</v>
      </c>
      <c r="D194" s="31">
        <v>6</v>
      </c>
      <c r="E194" s="31">
        <f>15+7+10</f>
        <v>32</v>
      </c>
      <c r="F194" s="31">
        <v>3</v>
      </c>
      <c r="G194" s="31">
        <v>32</v>
      </c>
      <c r="H194" s="87">
        <v>0</v>
      </c>
      <c r="I194" s="63"/>
      <c r="J194" s="31">
        <v>13</v>
      </c>
      <c r="K194" s="31">
        <v>98</v>
      </c>
      <c r="L194" s="8"/>
      <c r="M194" s="8"/>
      <c r="N194" s="8"/>
      <c r="O194" s="8"/>
      <c r="P194" s="8"/>
      <c r="Q194" s="8"/>
    </row>
    <row r="195" spans="1:17" ht="12.75" customHeight="1" x14ac:dyDescent="0.25">
      <c r="A195" s="18"/>
      <c r="B195" s="53"/>
      <c r="C195" s="50" t="s">
        <v>261</v>
      </c>
      <c r="D195" s="31">
        <v>5</v>
      </c>
      <c r="E195" s="31">
        <v>20</v>
      </c>
      <c r="F195" s="31">
        <v>4</v>
      </c>
      <c r="G195" s="31">
        <v>20</v>
      </c>
      <c r="H195" s="87">
        <v>0</v>
      </c>
      <c r="I195" s="63"/>
      <c r="J195" s="31"/>
      <c r="K195" s="31"/>
      <c r="L195" s="8"/>
      <c r="M195" s="8"/>
      <c r="N195" s="8"/>
      <c r="O195" s="8"/>
      <c r="P195" s="8"/>
      <c r="Q195" s="8"/>
    </row>
    <row r="196" spans="1:17" ht="12.75" customHeight="1" x14ac:dyDescent="0.25">
      <c r="A196" s="18"/>
      <c r="B196" s="53"/>
      <c r="C196" s="50" t="s">
        <v>262</v>
      </c>
      <c r="D196" s="31">
        <v>5</v>
      </c>
      <c r="E196" s="31">
        <v>45</v>
      </c>
      <c r="F196" s="31">
        <v>1</v>
      </c>
      <c r="G196" s="31">
        <v>30</v>
      </c>
      <c r="H196" s="87">
        <v>0</v>
      </c>
      <c r="I196" s="63"/>
      <c r="J196" s="31"/>
      <c r="K196" s="31"/>
      <c r="L196" s="8"/>
      <c r="M196" s="8"/>
      <c r="N196" s="8"/>
      <c r="O196" s="8"/>
      <c r="P196" s="8"/>
      <c r="Q196" s="8"/>
    </row>
    <row r="197" spans="1:17" ht="12.75" customHeight="1" x14ac:dyDescent="0.25">
      <c r="A197" s="18"/>
      <c r="B197" s="53"/>
      <c r="C197" s="50" t="s">
        <v>263</v>
      </c>
      <c r="D197" s="31">
        <v>9</v>
      </c>
      <c r="E197" s="31">
        <v>35</v>
      </c>
      <c r="F197" s="31">
        <v>5</v>
      </c>
      <c r="G197" s="31">
        <v>20</v>
      </c>
      <c r="H197" s="87">
        <v>0</v>
      </c>
      <c r="I197" s="63"/>
      <c r="J197" s="31"/>
      <c r="K197" s="31"/>
      <c r="L197" s="8"/>
      <c r="M197" s="8"/>
      <c r="N197" s="8"/>
      <c r="O197" s="8"/>
      <c r="P197" s="8"/>
      <c r="Q197" s="8"/>
    </row>
    <row r="198" spans="1:17" ht="12.75" customHeight="1" x14ac:dyDescent="0.25">
      <c r="A198" s="18"/>
      <c r="B198" s="53"/>
      <c r="C198" s="50" t="s">
        <v>264</v>
      </c>
      <c r="D198" s="31">
        <v>3</v>
      </c>
      <c r="E198" s="31">
        <f>15+10+3</f>
        <v>28</v>
      </c>
      <c r="F198" s="31">
        <v>3</v>
      </c>
      <c r="G198" s="31">
        <f>15+10+3</f>
        <v>28</v>
      </c>
      <c r="H198" s="87">
        <v>0</v>
      </c>
      <c r="I198" s="63"/>
      <c r="J198" s="31">
        <v>9</v>
      </c>
      <c r="K198" s="31">
        <v>82</v>
      </c>
      <c r="L198" s="8"/>
      <c r="M198" s="8"/>
      <c r="N198" s="8"/>
      <c r="O198" s="8"/>
      <c r="P198" s="8"/>
      <c r="Q198" s="8"/>
    </row>
    <row r="199" spans="1:17" ht="12.75" customHeight="1" x14ac:dyDescent="0.25">
      <c r="A199" s="18"/>
      <c r="B199" s="18"/>
      <c r="C199" s="59" t="s">
        <v>30</v>
      </c>
      <c r="D199" s="31">
        <f>SUM(D194:D198)</f>
        <v>28</v>
      </c>
      <c r="E199" s="31">
        <f>SUM(E194:E198)</f>
        <v>160</v>
      </c>
      <c r="F199" s="31">
        <f>SUM(F194:F198)</f>
        <v>16</v>
      </c>
      <c r="G199" s="31">
        <f>SUM(G194:G198)</f>
        <v>130</v>
      </c>
      <c r="H199" s="87">
        <v>0</v>
      </c>
      <c r="I199" s="31">
        <f>SUM(I194:I198)</f>
        <v>0</v>
      </c>
      <c r="J199" s="31">
        <f>SUM(J194:J198)</f>
        <v>22</v>
      </c>
      <c r="K199" s="31">
        <v>140</v>
      </c>
      <c r="L199" s="8"/>
      <c r="M199" s="8"/>
      <c r="N199" s="8"/>
      <c r="O199" s="8"/>
      <c r="P199" s="8"/>
      <c r="Q199" s="8"/>
    </row>
    <row r="200" spans="1:17" ht="15" x14ac:dyDescent="0.25">
      <c r="A200" s="18"/>
      <c r="B200" s="18"/>
      <c r="C200" s="51" t="s">
        <v>305</v>
      </c>
      <c r="D200" s="31"/>
      <c r="E200" s="31"/>
      <c r="F200" s="31"/>
      <c r="G200" s="31"/>
      <c r="H200" s="87">
        <v>0</v>
      </c>
      <c r="I200" s="63"/>
      <c r="J200" s="31"/>
      <c r="K200" s="31"/>
      <c r="L200" s="8"/>
      <c r="M200" s="8"/>
      <c r="N200" s="8"/>
      <c r="O200" s="8"/>
      <c r="P200" s="8"/>
      <c r="Q200" s="8"/>
    </row>
    <row r="201" spans="1:17" ht="12.75" customHeight="1" x14ac:dyDescent="0.25">
      <c r="A201" s="18"/>
      <c r="B201" s="53"/>
      <c r="C201" s="50" t="s">
        <v>266</v>
      </c>
      <c r="D201" s="31">
        <v>25</v>
      </c>
      <c r="E201" s="31">
        <v>130</v>
      </c>
      <c r="F201" s="31">
        <v>1</v>
      </c>
      <c r="G201" s="31">
        <v>5</v>
      </c>
      <c r="H201" s="87">
        <v>0</v>
      </c>
      <c r="I201" s="63"/>
      <c r="J201" s="31">
        <v>48</v>
      </c>
      <c r="K201" s="31">
        <v>260</v>
      </c>
      <c r="L201" s="8"/>
      <c r="M201" s="8"/>
      <c r="N201" s="8"/>
      <c r="O201" s="8"/>
      <c r="P201" s="8"/>
      <c r="Q201" s="8"/>
    </row>
    <row r="202" spans="1:17" ht="12.75" customHeight="1" x14ac:dyDescent="0.25">
      <c r="A202" s="18"/>
      <c r="B202" s="53"/>
      <c r="C202" s="50" t="s">
        <v>267</v>
      </c>
      <c r="D202" s="31"/>
      <c r="E202" s="31"/>
      <c r="F202" s="31"/>
      <c r="G202" s="31"/>
      <c r="H202" s="87">
        <v>0</v>
      </c>
      <c r="I202" s="63"/>
      <c r="J202" s="31"/>
      <c r="K202" s="31"/>
      <c r="L202" s="8"/>
      <c r="M202" s="8"/>
      <c r="N202" s="8"/>
      <c r="O202" s="8"/>
      <c r="P202" s="8"/>
      <c r="Q202" s="8"/>
    </row>
    <row r="203" spans="1:17" ht="12.75" customHeight="1" x14ac:dyDescent="0.25">
      <c r="A203" s="18"/>
      <c r="B203" s="53"/>
      <c r="C203" s="57" t="s">
        <v>268</v>
      </c>
      <c r="D203" s="31">
        <v>30</v>
      </c>
      <c r="E203" s="31">
        <v>120</v>
      </c>
      <c r="F203" s="31">
        <v>1</v>
      </c>
      <c r="G203" s="31">
        <v>7</v>
      </c>
      <c r="H203" s="87">
        <v>0</v>
      </c>
      <c r="I203" s="63"/>
      <c r="J203" s="31">
        <v>16</v>
      </c>
      <c r="K203" s="31">
        <v>145</v>
      </c>
      <c r="L203" s="8"/>
      <c r="M203" s="8"/>
      <c r="N203" s="8"/>
      <c r="O203" s="8"/>
      <c r="P203" s="8"/>
      <c r="Q203" s="8"/>
    </row>
    <row r="204" spans="1:17" ht="12.75" customHeight="1" x14ac:dyDescent="0.25">
      <c r="A204" s="18"/>
      <c r="B204" s="53"/>
      <c r="C204" s="50" t="s">
        <v>269</v>
      </c>
      <c r="D204" s="31"/>
      <c r="E204" s="31"/>
      <c r="F204" s="31"/>
      <c r="G204" s="31"/>
      <c r="H204" s="87">
        <v>0</v>
      </c>
      <c r="I204" s="63"/>
      <c r="J204" s="31"/>
      <c r="K204" s="31"/>
      <c r="L204" s="8"/>
      <c r="M204" s="8"/>
      <c r="N204" s="8"/>
      <c r="O204" s="8"/>
      <c r="P204" s="8"/>
      <c r="Q204" s="8"/>
    </row>
    <row r="205" spans="1:17" ht="12.75" customHeight="1" x14ac:dyDescent="0.25">
      <c r="A205" s="18"/>
      <c r="B205" s="53"/>
      <c r="C205" s="50" t="s">
        <v>270</v>
      </c>
      <c r="D205" s="31">
        <v>38</v>
      </c>
      <c r="E205" s="31">
        <v>315</v>
      </c>
      <c r="F205" s="31">
        <v>18</v>
      </c>
      <c r="G205" s="31">
        <v>88</v>
      </c>
      <c r="H205" s="87">
        <v>0</v>
      </c>
      <c r="I205" s="63"/>
      <c r="J205" s="31">
        <v>36</v>
      </c>
      <c r="K205" s="31">
        <v>245</v>
      </c>
      <c r="L205" s="8"/>
      <c r="M205" s="8"/>
      <c r="N205" s="8"/>
      <c r="O205" s="8"/>
      <c r="P205" s="8"/>
      <c r="Q205" s="8"/>
    </row>
    <row r="206" spans="1:17" ht="12.75" customHeight="1" x14ac:dyDescent="0.25">
      <c r="A206" s="18"/>
      <c r="B206" s="53"/>
      <c r="C206" s="50" t="s">
        <v>271</v>
      </c>
      <c r="D206" s="31">
        <v>6</v>
      </c>
      <c r="E206" s="31">
        <f>10+5+5+5+5+5</f>
        <v>35</v>
      </c>
      <c r="F206" s="31">
        <v>6</v>
      </c>
      <c r="G206" s="31">
        <v>35</v>
      </c>
      <c r="H206" s="87">
        <v>0</v>
      </c>
      <c r="I206" s="63"/>
      <c r="J206" s="31"/>
      <c r="K206" s="31"/>
      <c r="L206" s="8"/>
      <c r="M206" s="8"/>
      <c r="N206" s="8"/>
      <c r="O206" s="8"/>
      <c r="P206" s="8"/>
      <c r="Q206" s="8"/>
    </row>
    <row r="207" spans="1:17" ht="12.75" customHeight="1" x14ac:dyDescent="0.25">
      <c r="A207" s="18"/>
      <c r="B207" s="53"/>
      <c r="C207" s="50" t="s">
        <v>272</v>
      </c>
      <c r="D207" s="31">
        <v>2</v>
      </c>
      <c r="E207" s="31">
        <f>7.5+3</f>
        <v>10.5</v>
      </c>
      <c r="F207" s="31">
        <v>2</v>
      </c>
      <c r="G207" s="31">
        <f>7.5+3</f>
        <v>10.5</v>
      </c>
      <c r="H207" s="87">
        <v>0</v>
      </c>
      <c r="I207" s="63"/>
      <c r="J207" s="31">
        <v>15</v>
      </c>
      <c r="K207" s="31">
        <v>50</v>
      </c>
      <c r="L207" s="8"/>
      <c r="M207" s="8"/>
      <c r="N207" s="8"/>
      <c r="O207" s="8"/>
      <c r="P207" s="8"/>
      <c r="Q207" s="8"/>
    </row>
    <row r="208" spans="1:17" ht="12.75" customHeight="1" x14ac:dyDescent="0.25">
      <c r="A208" s="18"/>
      <c r="B208" s="53"/>
      <c r="C208" s="50" t="s">
        <v>273</v>
      </c>
      <c r="D208" s="31">
        <v>5</v>
      </c>
      <c r="E208" s="31">
        <f>13+15+13+8+6</f>
        <v>55</v>
      </c>
      <c r="F208" s="31">
        <v>5</v>
      </c>
      <c r="G208" s="31">
        <v>55</v>
      </c>
      <c r="H208" s="87">
        <v>0</v>
      </c>
      <c r="I208" s="63"/>
      <c r="J208" s="31">
        <v>15</v>
      </c>
      <c r="K208" s="31">
        <v>65</v>
      </c>
      <c r="L208" s="8"/>
      <c r="M208" s="8"/>
      <c r="N208" s="8"/>
      <c r="O208" s="8"/>
      <c r="P208" s="8"/>
      <c r="Q208" s="8"/>
    </row>
    <row r="209" spans="1:17" ht="12.75" customHeight="1" x14ac:dyDescent="0.25">
      <c r="A209" s="18"/>
      <c r="B209" s="53"/>
      <c r="C209" s="50" t="s">
        <v>274</v>
      </c>
      <c r="D209" s="31">
        <v>2</v>
      </c>
      <c r="E209" s="31">
        <f>10+15</f>
        <v>25</v>
      </c>
      <c r="F209" s="31">
        <v>2</v>
      </c>
      <c r="G209" s="31">
        <v>25</v>
      </c>
      <c r="H209" s="87">
        <v>0</v>
      </c>
      <c r="I209" s="63"/>
      <c r="J209" s="31">
        <v>17</v>
      </c>
      <c r="K209" s="31">
        <v>69</v>
      </c>
      <c r="L209" s="8"/>
      <c r="M209" s="8"/>
      <c r="N209" s="8"/>
      <c r="O209" s="8"/>
      <c r="P209" s="8"/>
      <c r="Q209" s="8"/>
    </row>
    <row r="210" spans="1:17" ht="12.75" customHeight="1" x14ac:dyDescent="0.25">
      <c r="A210" s="18"/>
      <c r="B210" s="53"/>
      <c r="C210" s="50" t="s">
        <v>275</v>
      </c>
      <c r="D210" s="31">
        <v>1</v>
      </c>
      <c r="E210" s="31">
        <v>15</v>
      </c>
      <c r="F210" s="31">
        <v>1</v>
      </c>
      <c r="G210" s="31">
        <v>15</v>
      </c>
      <c r="H210" s="87">
        <v>0</v>
      </c>
      <c r="I210" s="63"/>
      <c r="J210" s="31">
        <v>43</v>
      </c>
      <c r="K210" s="31">
        <v>223</v>
      </c>
      <c r="L210" s="8"/>
      <c r="M210" s="8"/>
      <c r="N210" s="8"/>
      <c r="O210" s="8"/>
      <c r="P210" s="8"/>
      <c r="Q210" s="8"/>
    </row>
    <row r="211" spans="1:17" ht="12.75" customHeight="1" x14ac:dyDescent="0.25">
      <c r="A211" s="18"/>
      <c r="B211" s="53"/>
      <c r="C211" s="50" t="s">
        <v>276</v>
      </c>
      <c r="D211" s="31">
        <v>3</v>
      </c>
      <c r="E211" s="31">
        <f>20+10+7</f>
        <v>37</v>
      </c>
      <c r="F211" s="31">
        <v>3</v>
      </c>
      <c r="G211" s="31">
        <v>37</v>
      </c>
      <c r="H211" s="87">
        <v>0</v>
      </c>
      <c r="I211" s="63"/>
      <c r="J211" s="31">
        <v>13</v>
      </c>
      <c r="K211" s="31">
        <v>98</v>
      </c>
      <c r="L211" s="8"/>
      <c r="M211" s="8"/>
      <c r="N211" s="8"/>
      <c r="O211" s="8"/>
      <c r="P211" s="8"/>
      <c r="Q211" s="8"/>
    </row>
    <row r="212" spans="1:17" ht="12.75" customHeight="1" x14ac:dyDescent="0.25">
      <c r="A212" s="18"/>
      <c r="B212" s="53"/>
      <c r="C212" s="50" t="s">
        <v>277</v>
      </c>
      <c r="D212" s="31">
        <v>2</v>
      </c>
      <c r="E212" s="31">
        <v>6</v>
      </c>
      <c r="F212" s="31"/>
      <c r="G212" s="31"/>
      <c r="H212" s="87">
        <v>0</v>
      </c>
      <c r="I212" s="63"/>
      <c r="J212" s="31">
        <v>15</v>
      </c>
      <c r="K212" s="31">
        <v>70</v>
      </c>
      <c r="L212" s="8"/>
      <c r="M212" s="8"/>
      <c r="N212" s="8"/>
      <c r="O212" s="8"/>
      <c r="P212" s="8"/>
      <c r="Q212" s="8"/>
    </row>
    <row r="213" spans="1:17" ht="12.75" customHeight="1" x14ac:dyDescent="0.25">
      <c r="A213" s="18"/>
      <c r="B213" s="53"/>
      <c r="C213" s="50" t="s">
        <v>278</v>
      </c>
      <c r="D213" s="31">
        <v>1</v>
      </c>
      <c r="E213" s="31">
        <v>20</v>
      </c>
      <c r="F213" s="31">
        <v>1</v>
      </c>
      <c r="G213" s="31">
        <v>20</v>
      </c>
      <c r="H213" s="87">
        <v>0</v>
      </c>
      <c r="I213" s="63"/>
      <c r="J213" s="31"/>
      <c r="K213" s="31"/>
      <c r="L213" s="8"/>
      <c r="M213" s="8"/>
      <c r="N213" s="8"/>
      <c r="O213" s="8"/>
      <c r="P213" s="8"/>
      <c r="Q213" s="8"/>
    </row>
    <row r="214" spans="1:17" ht="12.75" customHeight="1" x14ac:dyDescent="0.25">
      <c r="A214" s="18"/>
      <c r="B214" s="53"/>
      <c r="C214" s="50" t="s">
        <v>279</v>
      </c>
      <c r="D214" s="31">
        <v>1</v>
      </c>
      <c r="E214" s="31">
        <v>3</v>
      </c>
      <c r="F214" s="31">
        <v>1</v>
      </c>
      <c r="G214" s="31">
        <v>3</v>
      </c>
      <c r="H214" s="87">
        <v>0</v>
      </c>
      <c r="I214" s="63"/>
      <c r="J214" s="31">
        <v>19</v>
      </c>
      <c r="K214" s="31">
        <v>145</v>
      </c>
      <c r="L214" s="8"/>
      <c r="M214" s="8"/>
      <c r="N214" s="8"/>
      <c r="O214" s="8"/>
      <c r="P214" s="8"/>
      <c r="Q214" s="8"/>
    </row>
    <row r="215" spans="1:17" ht="12.75" customHeight="1" x14ac:dyDescent="0.25">
      <c r="A215" s="18"/>
      <c r="B215" s="53"/>
      <c r="C215" s="50" t="s">
        <v>280</v>
      </c>
      <c r="D215" s="31">
        <v>1</v>
      </c>
      <c r="E215" s="31">
        <v>15</v>
      </c>
      <c r="F215" s="31">
        <v>1</v>
      </c>
      <c r="G215" s="31">
        <v>15</v>
      </c>
      <c r="H215" s="87">
        <v>0</v>
      </c>
      <c r="I215" s="63"/>
      <c r="J215" s="31"/>
      <c r="K215" s="31"/>
      <c r="L215" s="8"/>
      <c r="M215" s="8"/>
      <c r="N215" s="8"/>
      <c r="O215" s="8"/>
      <c r="P215" s="8"/>
      <c r="Q215" s="8"/>
    </row>
    <row r="216" spans="1:17" ht="12.75" customHeight="1" x14ac:dyDescent="0.25">
      <c r="A216" s="18"/>
      <c r="B216" s="53"/>
      <c r="C216" s="50" t="s">
        <v>281</v>
      </c>
      <c r="D216" s="31">
        <v>1</v>
      </c>
      <c r="E216" s="31">
        <v>7</v>
      </c>
      <c r="F216" s="31">
        <v>1</v>
      </c>
      <c r="G216" s="31">
        <v>7</v>
      </c>
      <c r="H216" s="87">
        <v>0</v>
      </c>
      <c r="I216" s="63"/>
      <c r="J216" s="31"/>
      <c r="K216" s="31"/>
      <c r="L216" s="8"/>
      <c r="M216" s="8"/>
      <c r="N216" s="8"/>
      <c r="O216" s="8"/>
      <c r="P216" s="8"/>
      <c r="Q216" s="8"/>
    </row>
    <row r="217" spans="1:17" ht="12.75" customHeight="1" x14ac:dyDescent="0.25">
      <c r="A217" s="18"/>
      <c r="B217" s="53"/>
      <c r="C217" s="50" t="s">
        <v>282</v>
      </c>
      <c r="D217" s="31">
        <v>7</v>
      </c>
      <c r="E217" s="31">
        <v>25</v>
      </c>
      <c r="F217" s="31"/>
      <c r="G217" s="31"/>
      <c r="H217" s="87">
        <v>0</v>
      </c>
      <c r="I217" s="63"/>
      <c r="J217" s="31">
        <v>18</v>
      </c>
      <c r="K217" s="31">
        <v>56</v>
      </c>
      <c r="L217" s="8"/>
      <c r="M217" s="8"/>
      <c r="N217" s="8"/>
      <c r="O217" s="8"/>
      <c r="P217" s="8"/>
      <c r="Q217" s="8"/>
    </row>
    <row r="218" spans="1:17" ht="12.75" customHeight="1" x14ac:dyDescent="0.25">
      <c r="A218" s="18"/>
      <c r="B218" s="53"/>
      <c r="C218" s="50" t="s">
        <v>283</v>
      </c>
      <c r="D218" s="31">
        <v>2</v>
      </c>
      <c r="E218" s="31">
        <f>45+50</f>
        <v>95</v>
      </c>
      <c r="F218" s="31">
        <v>2</v>
      </c>
      <c r="G218" s="31">
        <v>30</v>
      </c>
      <c r="H218" s="87">
        <v>0</v>
      </c>
      <c r="I218" s="63"/>
      <c r="J218" s="31"/>
      <c r="K218" s="31"/>
      <c r="L218" s="8"/>
      <c r="M218" s="8"/>
      <c r="N218" s="8"/>
      <c r="O218" s="8"/>
      <c r="P218" s="8"/>
      <c r="Q218" s="8"/>
    </row>
    <row r="219" spans="1:17" ht="12.75" customHeight="1" x14ac:dyDescent="0.25">
      <c r="A219" s="18"/>
      <c r="B219" s="53"/>
      <c r="C219" s="50" t="s">
        <v>284</v>
      </c>
      <c r="D219" s="31">
        <v>1</v>
      </c>
      <c r="E219" s="31">
        <v>30</v>
      </c>
      <c r="F219" s="31">
        <v>1</v>
      </c>
      <c r="G219" s="31">
        <v>30</v>
      </c>
      <c r="H219" s="87">
        <v>0</v>
      </c>
      <c r="I219" s="63"/>
      <c r="J219" s="31"/>
      <c r="K219" s="31"/>
      <c r="L219" s="8"/>
      <c r="M219" s="8"/>
      <c r="N219" s="8"/>
      <c r="O219" s="8"/>
      <c r="P219" s="8"/>
      <c r="Q219" s="8"/>
    </row>
    <row r="220" spans="1:17" ht="12.75" customHeight="1" x14ac:dyDescent="0.25">
      <c r="A220" s="18"/>
      <c r="B220" s="53"/>
      <c r="C220" s="50" t="s">
        <v>285</v>
      </c>
      <c r="D220" s="31">
        <v>3</v>
      </c>
      <c r="E220" s="31">
        <v>21</v>
      </c>
      <c r="F220" s="31"/>
      <c r="G220" s="31"/>
      <c r="H220" s="87">
        <v>0</v>
      </c>
      <c r="I220" s="63"/>
      <c r="J220" s="31"/>
      <c r="K220" s="31"/>
      <c r="L220" s="8"/>
      <c r="M220" s="8"/>
      <c r="N220" s="8"/>
      <c r="O220" s="8"/>
      <c r="P220" s="8"/>
      <c r="Q220" s="8"/>
    </row>
    <row r="221" spans="1:17" ht="12.75" customHeight="1" x14ac:dyDescent="0.25">
      <c r="A221" s="18"/>
      <c r="B221" s="53"/>
      <c r="C221" s="50" t="s">
        <v>286</v>
      </c>
      <c r="D221" s="31">
        <v>15</v>
      </c>
      <c r="E221" s="31">
        <v>290</v>
      </c>
      <c r="F221" s="31">
        <v>10</v>
      </c>
      <c r="G221" s="31">
        <v>70</v>
      </c>
      <c r="H221" s="87">
        <v>0</v>
      </c>
      <c r="I221" s="63"/>
      <c r="J221" s="31">
        <v>3</v>
      </c>
      <c r="K221" s="31">
        <v>10</v>
      </c>
      <c r="L221" s="8"/>
      <c r="M221" s="8"/>
      <c r="N221" s="8"/>
      <c r="O221" s="8"/>
      <c r="P221" s="8"/>
      <c r="Q221" s="8"/>
    </row>
    <row r="222" spans="1:17" ht="12.75" customHeight="1" x14ac:dyDescent="0.25">
      <c r="A222" s="18"/>
      <c r="B222" s="53"/>
      <c r="C222" s="50" t="s">
        <v>287</v>
      </c>
      <c r="D222" s="31">
        <v>6</v>
      </c>
      <c r="E222" s="31">
        <f>14+10+10+10+10+6</f>
        <v>60</v>
      </c>
      <c r="F222" s="31">
        <v>6</v>
      </c>
      <c r="G222" s="31">
        <v>45</v>
      </c>
      <c r="H222" s="87">
        <v>0</v>
      </c>
      <c r="I222" s="63"/>
      <c r="J222" s="31"/>
      <c r="K222" s="31"/>
      <c r="L222" s="8"/>
      <c r="M222" s="8"/>
      <c r="N222" s="8"/>
      <c r="O222" s="8"/>
      <c r="P222" s="8"/>
      <c r="Q222" s="8"/>
    </row>
    <row r="223" spans="1:17" ht="12.75" customHeight="1" x14ac:dyDescent="0.25">
      <c r="A223" s="18"/>
      <c r="B223" s="53"/>
      <c r="C223" s="50" t="s">
        <v>288</v>
      </c>
      <c r="D223" s="31">
        <v>5</v>
      </c>
      <c r="E223" s="31">
        <f>13+13</f>
        <v>26</v>
      </c>
      <c r="F223" s="31">
        <v>2</v>
      </c>
      <c r="G223" s="31">
        <v>16</v>
      </c>
      <c r="H223" s="87">
        <v>0</v>
      </c>
      <c r="I223" s="63"/>
      <c r="J223" s="31"/>
      <c r="K223" s="31"/>
      <c r="L223" s="8"/>
      <c r="M223" s="8"/>
      <c r="N223" s="8"/>
      <c r="O223" s="8"/>
      <c r="P223" s="8"/>
      <c r="Q223" s="8"/>
    </row>
    <row r="224" spans="1:17" ht="12.75" customHeight="1" x14ac:dyDescent="0.25">
      <c r="A224" s="18"/>
      <c r="B224" s="53"/>
      <c r="C224" s="50" t="s">
        <v>289</v>
      </c>
      <c r="D224" s="31"/>
      <c r="E224" s="31"/>
      <c r="F224" s="31"/>
      <c r="G224" s="31"/>
      <c r="H224" s="87">
        <v>0</v>
      </c>
      <c r="I224" s="63"/>
      <c r="J224" s="31"/>
      <c r="K224" s="31"/>
      <c r="L224" s="8"/>
      <c r="M224" s="8"/>
      <c r="N224" s="8"/>
      <c r="O224" s="8"/>
      <c r="P224" s="8"/>
      <c r="Q224" s="8"/>
    </row>
    <row r="225" spans="1:17" ht="12.75" customHeight="1" x14ac:dyDescent="0.25">
      <c r="A225" s="18"/>
      <c r="B225" s="53"/>
      <c r="C225" s="50" t="s">
        <v>290</v>
      </c>
      <c r="D225" s="31"/>
      <c r="E225" s="31"/>
      <c r="F225" s="31"/>
      <c r="G225" s="31"/>
      <c r="H225" s="87">
        <v>0</v>
      </c>
      <c r="I225" s="63"/>
      <c r="J225" s="31"/>
      <c r="K225" s="31"/>
      <c r="L225" s="8"/>
      <c r="M225" s="8"/>
      <c r="N225" s="8"/>
      <c r="O225" s="8"/>
      <c r="P225" s="8"/>
      <c r="Q225" s="8"/>
    </row>
    <row r="226" spans="1:17" ht="12.75" customHeight="1" x14ac:dyDescent="0.25">
      <c r="A226" s="18"/>
      <c r="B226" s="53"/>
      <c r="C226" s="50" t="s">
        <v>291</v>
      </c>
      <c r="D226" s="31"/>
      <c r="E226" s="31"/>
      <c r="F226" s="31"/>
      <c r="G226" s="31"/>
      <c r="H226" s="87">
        <v>0</v>
      </c>
      <c r="I226" s="63"/>
      <c r="J226" s="31"/>
      <c r="K226" s="31"/>
      <c r="L226" s="8"/>
      <c r="M226" s="8"/>
      <c r="N226" s="8"/>
      <c r="O226" s="8"/>
      <c r="P226" s="8"/>
      <c r="Q226" s="8"/>
    </row>
    <row r="227" spans="1:17" ht="12.75" customHeight="1" x14ac:dyDescent="0.25">
      <c r="A227" s="18"/>
      <c r="B227" s="53"/>
      <c r="C227" s="50" t="s">
        <v>292</v>
      </c>
      <c r="D227" s="31">
        <v>1</v>
      </c>
      <c r="E227" s="31">
        <v>15</v>
      </c>
      <c r="F227" s="31">
        <v>1</v>
      </c>
      <c r="G227" s="31">
        <v>15</v>
      </c>
      <c r="H227" s="87">
        <v>0</v>
      </c>
      <c r="I227" s="63"/>
      <c r="J227" s="31"/>
      <c r="K227" s="31"/>
      <c r="L227" s="8"/>
      <c r="M227" s="8"/>
      <c r="N227" s="8"/>
      <c r="O227" s="8"/>
      <c r="P227" s="8"/>
      <c r="Q227" s="8"/>
    </row>
    <row r="228" spans="1:17" ht="12.75" customHeight="1" x14ac:dyDescent="0.25">
      <c r="A228" s="18"/>
      <c r="B228" s="53"/>
      <c r="C228" s="50" t="s">
        <v>293</v>
      </c>
      <c r="D228" s="31"/>
      <c r="E228" s="31"/>
      <c r="F228" s="31"/>
      <c r="G228" s="31"/>
      <c r="H228" s="87">
        <v>0</v>
      </c>
      <c r="I228" s="63"/>
      <c r="J228" s="31"/>
      <c r="K228" s="31"/>
      <c r="L228" s="8"/>
      <c r="M228" s="8"/>
      <c r="N228" s="8"/>
      <c r="O228" s="8"/>
      <c r="P228" s="8"/>
      <c r="Q228" s="8"/>
    </row>
    <row r="229" spans="1:17" ht="12.75" customHeight="1" x14ac:dyDescent="0.25">
      <c r="A229" s="18"/>
      <c r="B229" s="53"/>
      <c r="C229" s="50" t="s">
        <v>294</v>
      </c>
      <c r="D229" s="31">
        <v>15</v>
      </c>
      <c r="E229" s="31">
        <v>201</v>
      </c>
      <c r="F229" s="31">
        <v>5</v>
      </c>
      <c r="G229" s="31">
        <v>75</v>
      </c>
      <c r="H229" s="87">
        <v>0</v>
      </c>
      <c r="I229" s="63"/>
      <c r="J229" s="31"/>
      <c r="K229" s="31"/>
      <c r="L229" s="8"/>
      <c r="M229" s="8"/>
      <c r="N229" s="8"/>
      <c r="O229" s="8"/>
      <c r="P229" s="8"/>
      <c r="Q229" s="8"/>
    </row>
    <row r="230" spans="1:17" ht="12.75" customHeight="1" x14ac:dyDescent="0.25">
      <c r="A230" s="18"/>
      <c r="B230" s="53"/>
      <c r="C230" s="50" t="s">
        <v>295</v>
      </c>
      <c r="D230" s="31"/>
      <c r="E230" s="31"/>
      <c r="F230" s="31"/>
      <c r="G230" s="31"/>
      <c r="H230" s="87">
        <v>0</v>
      </c>
      <c r="I230" s="63"/>
      <c r="J230" s="31"/>
      <c r="K230" s="31"/>
      <c r="L230" s="8"/>
      <c r="M230" s="8"/>
      <c r="N230" s="8"/>
      <c r="O230" s="8"/>
      <c r="P230" s="8"/>
      <c r="Q230" s="8"/>
    </row>
    <row r="231" spans="1:17" ht="12.75" customHeight="1" x14ac:dyDescent="0.25">
      <c r="A231" s="18"/>
      <c r="B231" s="53"/>
      <c r="C231" s="50" t="s">
        <v>296</v>
      </c>
      <c r="D231" s="31">
        <v>8</v>
      </c>
      <c r="E231" s="31">
        <v>34</v>
      </c>
      <c r="F231" s="31">
        <v>4</v>
      </c>
      <c r="G231" s="31">
        <v>19</v>
      </c>
      <c r="H231" s="87">
        <v>0</v>
      </c>
      <c r="I231" s="63"/>
      <c r="J231" s="31"/>
      <c r="K231" s="31"/>
      <c r="L231" s="8"/>
      <c r="M231" s="8"/>
      <c r="N231" s="8"/>
      <c r="O231" s="8"/>
      <c r="P231" s="8"/>
      <c r="Q231" s="8"/>
    </row>
    <row r="232" spans="1:17" ht="12.75" customHeight="1" x14ac:dyDescent="0.25">
      <c r="A232" s="18"/>
      <c r="B232" s="53"/>
      <c r="C232" s="50" t="s">
        <v>297</v>
      </c>
      <c r="D232" s="31"/>
      <c r="E232" s="31"/>
      <c r="F232" s="31"/>
      <c r="G232" s="31"/>
      <c r="H232" s="87">
        <v>0</v>
      </c>
      <c r="I232" s="63"/>
      <c r="J232" s="31"/>
      <c r="K232" s="31"/>
      <c r="L232" s="8"/>
      <c r="M232" s="8"/>
      <c r="N232" s="8"/>
      <c r="O232" s="8"/>
      <c r="P232" s="8"/>
      <c r="Q232" s="8"/>
    </row>
    <row r="233" spans="1:17" ht="12.75" customHeight="1" x14ac:dyDescent="0.25">
      <c r="A233" s="18"/>
      <c r="B233" s="53"/>
      <c r="C233" s="50" t="s">
        <v>298</v>
      </c>
      <c r="D233" s="31">
        <v>7</v>
      </c>
      <c r="E233" s="31">
        <v>45</v>
      </c>
      <c r="F233" s="31"/>
      <c r="G233" s="31"/>
      <c r="H233" s="87">
        <v>0</v>
      </c>
      <c r="I233" s="63"/>
      <c r="J233" s="31"/>
      <c r="K233" s="31"/>
      <c r="L233" s="8"/>
      <c r="M233" s="8"/>
      <c r="N233" s="8"/>
      <c r="O233" s="8"/>
      <c r="P233" s="8"/>
      <c r="Q233" s="8"/>
    </row>
    <row r="234" spans="1:17" ht="12.75" customHeight="1" x14ac:dyDescent="0.25">
      <c r="A234" s="18"/>
      <c r="B234" s="53"/>
      <c r="C234" s="50" t="s">
        <v>299</v>
      </c>
      <c r="D234" s="31">
        <v>5</v>
      </c>
      <c r="E234" s="31">
        <v>25</v>
      </c>
      <c r="F234" s="31"/>
      <c r="G234" s="31"/>
      <c r="H234" s="87">
        <v>0</v>
      </c>
      <c r="I234" s="63"/>
      <c r="J234" s="31"/>
      <c r="K234" s="31"/>
      <c r="L234" s="8"/>
      <c r="M234" s="8"/>
      <c r="N234" s="8"/>
      <c r="O234" s="8"/>
      <c r="P234" s="8"/>
      <c r="Q234" s="8"/>
    </row>
    <row r="235" spans="1:17" ht="12.75" customHeight="1" x14ac:dyDescent="0.25">
      <c r="A235" s="18"/>
      <c r="B235" s="53"/>
      <c r="C235" s="50" t="s">
        <v>300</v>
      </c>
      <c r="D235" s="31">
        <v>1</v>
      </c>
      <c r="E235" s="31">
        <v>15</v>
      </c>
      <c r="F235" s="31">
        <v>1</v>
      </c>
      <c r="G235" s="31">
        <v>15</v>
      </c>
      <c r="H235" s="87">
        <v>0</v>
      </c>
      <c r="I235" s="63"/>
      <c r="J235" s="31"/>
      <c r="K235" s="31"/>
      <c r="L235" s="8"/>
      <c r="M235" s="8"/>
      <c r="N235" s="8"/>
      <c r="O235" s="8"/>
      <c r="P235" s="8"/>
      <c r="Q235" s="8"/>
    </row>
    <row r="236" spans="1:17" ht="12.75" customHeight="1" x14ac:dyDescent="0.25">
      <c r="A236" s="18"/>
      <c r="B236" s="53"/>
      <c r="C236" s="50" t="s">
        <v>301</v>
      </c>
      <c r="D236" s="31"/>
      <c r="E236" s="31"/>
      <c r="F236" s="31"/>
      <c r="G236" s="31"/>
      <c r="H236" s="87">
        <v>0</v>
      </c>
      <c r="I236" s="63"/>
      <c r="J236" s="31"/>
      <c r="K236" s="31"/>
      <c r="L236" s="8"/>
      <c r="M236" s="8"/>
      <c r="N236" s="8"/>
      <c r="O236" s="8"/>
      <c r="P236" s="8"/>
      <c r="Q236" s="8"/>
    </row>
    <row r="237" spans="1:17" ht="12.75" customHeight="1" x14ac:dyDescent="0.25">
      <c r="A237" s="18"/>
      <c r="B237" s="53"/>
      <c r="C237" s="50" t="s">
        <v>302</v>
      </c>
      <c r="D237" s="31">
        <v>47</v>
      </c>
      <c r="E237" s="31">
        <v>375.5</v>
      </c>
      <c r="F237" s="31">
        <v>15</v>
      </c>
      <c r="G237" s="31">
        <v>65</v>
      </c>
      <c r="H237" s="87">
        <v>0</v>
      </c>
      <c r="I237" s="63"/>
      <c r="J237" s="31">
        <v>9</v>
      </c>
      <c r="K237" s="31">
        <v>43</v>
      </c>
      <c r="L237" s="8"/>
      <c r="M237" s="8"/>
      <c r="N237" s="8"/>
      <c r="O237" s="8"/>
      <c r="P237" s="8"/>
      <c r="Q237" s="8"/>
    </row>
    <row r="238" spans="1:17" ht="12.75" customHeight="1" x14ac:dyDescent="0.25">
      <c r="A238" s="18"/>
      <c r="B238" s="53"/>
      <c r="C238" s="50" t="s">
        <v>303</v>
      </c>
      <c r="D238" s="31">
        <v>6</v>
      </c>
      <c r="E238" s="31">
        <f>10+9+5+6+6+6</f>
        <v>42</v>
      </c>
      <c r="F238" s="31">
        <v>6</v>
      </c>
      <c r="G238" s="31">
        <v>42</v>
      </c>
      <c r="H238" s="87">
        <v>0</v>
      </c>
      <c r="I238" s="63"/>
      <c r="J238" s="31"/>
      <c r="K238" s="31"/>
      <c r="L238" s="8"/>
      <c r="M238" s="8"/>
      <c r="N238" s="8"/>
      <c r="O238" s="8"/>
      <c r="P238" s="8"/>
      <c r="Q238" s="8"/>
    </row>
    <row r="239" spans="1:17" ht="12.75" customHeight="1" x14ac:dyDescent="0.25">
      <c r="A239" s="18"/>
      <c r="B239" s="53"/>
      <c r="C239" s="50" t="s">
        <v>359</v>
      </c>
      <c r="D239" s="31">
        <v>1</v>
      </c>
      <c r="E239" s="31">
        <v>8</v>
      </c>
      <c r="F239" s="31">
        <v>1</v>
      </c>
      <c r="G239" s="31">
        <v>8</v>
      </c>
      <c r="H239" s="87">
        <v>0</v>
      </c>
      <c r="I239" s="63"/>
      <c r="J239" s="31"/>
      <c r="K239" s="31"/>
      <c r="L239" s="8"/>
      <c r="M239" s="8"/>
      <c r="N239" s="8"/>
      <c r="O239" s="8"/>
      <c r="P239" s="8"/>
      <c r="Q239" s="8"/>
    </row>
    <row r="240" spans="1:17" ht="12.75" customHeight="1" x14ac:dyDescent="0.25">
      <c r="A240" s="18"/>
      <c r="B240" s="53"/>
      <c r="C240" s="50" t="s">
        <v>304</v>
      </c>
      <c r="D240" s="31">
        <v>15</v>
      </c>
      <c r="E240" s="31">
        <f>8+10+20+8+15+10+15+15</f>
        <v>101</v>
      </c>
      <c r="F240" s="31">
        <v>8</v>
      </c>
      <c r="G240" s="31">
        <v>79</v>
      </c>
      <c r="H240" s="87">
        <v>0</v>
      </c>
      <c r="I240" s="63"/>
      <c r="J240" s="31"/>
      <c r="K240" s="31"/>
      <c r="L240" s="8"/>
      <c r="M240" s="8"/>
      <c r="N240" s="8"/>
      <c r="O240" s="8"/>
      <c r="P240" s="8"/>
      <c r="Q240" s="8"/>
    </row>
    <row r="241" spans="1:17" ht="12.75" customHeight="1" x14ac:dyDescent="0.2">
      <c r="A241" s="18"/>
      <c r="B241" s="18"/>
      <c r="C241" s="19" t="s">
        <v>30</v>
      </c>
      <c r="D241" s="31">
        <f>SUM(D201:D240)</f>
        <v>263</v>
      </c>
      <c r="E241" s="31">
        <f t="shared" ref="E241" si="5">SUM(E201:E240)</f>
        <v>2202</v>
      </c>
      <c r="F241" s="31">
        <f t="shared" ref="F241:Q241" si="6">SUM(F201:F240)</f>
        <v>105</v>
      </c>
      <c r="G241" s="31">
        <f t="shared" si="6"/>
        <v>831.5</v>
      </c>
      <c r="H241" s="31">
        <f t="shared" si="6"/>
        <v>0</v>
      </c>
      <c r="I241" s="31">
        <f t="shared" si="6"/>
        <v>0</v>
      </c>
      <c r="J241" s="31">
        <f t="shared" si="6"/>
        <v>267</v>
      </c>
      <c r="K241" s="31">
        <f t="shared" si="6"/>
        <v>1479</v>
      </c>
      <c r="L241" s="31">
        <f t="shared" si="6"/>
        <v>0</v>
      </c>
      <c r="M241" s="31">
        <f t="shared" si="6"/>
        <v>0</v>
      </c>
      <c r="N241" s="31">
        <f t="shared" si="6"/>
        <v>0</v>
      </c>
      <c r="O241" s="31">
        <f t="shared" si="6"/>
        <v>0</v>
      </c>
      <c r="P241" s="31">
        <f t="shared" si="6"/>
        <v>0</v>
      </c>
      <c r="Q241" s="31">
        <f t="shared" si="6"/>
        <v>0</v>
      </c>
    </row>
    <row r="242" spans="1:17" ht="25.5" customHeight="1" x14ac:dyDescent="0.2">
      <c r="A242" s="14"/>
      <c r="B242" s="15"/>
      <c r="C242" s="23" t="s">
        <v>119</v>
      </c>
      <c r="D242" s="36">
        <f t="shared" ref="D242:Q242" si="7">SUM(D241+D199+D192+D182+D150+D99+D61)</f>
        <v>1696</v>
      </c>
      <c r="E242" s="36">
        <f t="shared" si="7"/>
        <v>13149</v>
      </c>
      <c r="F242" s="36">
        <f t="shared" si="7"/>
        <v>1044</v>
      </c>
      <c r="G242" s="36">
        <f t="shared" si="7"/>
        <v>8179.3</v>
      </c>
      <c r="H242" s="36">
        <f t="shared" si="7"/>
        <v>0</v>
      </c>
      <c r="I242" s="36">
        <f t="shared" si="7"/>
        <v>0</v>
      </c>
      <c r="J242" s="36">
        <f t="shared" si="7"/>
        <v>1596</v>
      </c>
      <c r="K242" s="36">
        <f t="shared" si="7"/>
        <v>10823</v>
      </c>
      <c r="L242" s="36">
        <f t="shared" si="7"/>
        <v>0</v>
      </c>
      <c r="M242" s="36">
        <f t="shared" si="7"/>
        <v>0</v>
      </c>
      <c r="N242" s="36">
        <f t="shared" si="7"/>
        <v>0</v>
      </c>
      <c r="O242" s="36">
        <f t="shared" si="7"/>
        <v>0</v>
      </c>
      <c r="P242" s="36">
        <f t="shared" si="7"/>
        <v>0</v>
      </c>
      <c r="Q242" s="36">
        <f t="shared" si="7"/>
        <v>0</v>
      </c>
    </row>
    <row r="243" spans="1:17" x14ac:dyDescent="0.2">
      <c r="A243" s="10" t="s">
        <v>10</v>
      </c>
      <c r="B243" s="65" t="s">
        <v>11</v>
      </c>
      <c r="D243" s="37">
        <f t="shared" ref="D243" si="8">SUM(D242:D242)</f>
        <v>1696</v>
      </c>
      <c r="E243" s="38">
        <f t="shared" ref="E243" si="9">SUM(E242:E242)</f>
        <v>13149</v>
      </c>
      <c r="F243" s="38">
        <f t="shared" ref="F243:Q243" si="10">SUM(F242:F242)</f>
        <v>1044</v>
      </c>
      <c r="G243" s="38">
        <f t="shared" si="10"/>
        <v>8179.3</v>
      </c>
      <c r="H243" s="38">
        <f t="shared" si="10"/>
        <v>0</v>
      </c>
      <c r="I243" s="38">
        <f t="shared" si="10"/>
        <v>0</v>
      </c>
      <c r="J243" s="38">
        <f t="shared" si="10"/>
        <v>1596</v>
      </c>
      <c r="K243" s="38">
        <f t="shared" si="10"/>
        <v>10823</v>
      </c>
      <c r="L243" s="38">
        <f t="shared" si="10"/>
        <v>0</v>
      </c>
      <c r="M243" s="38">
        <f t="shared" si="10"/>
        <v>0</v>
      </c>
      <c r="N243" s="38">
        <f t="shared" si="10"/>
        <v>0</v>
      </c>
      <c r="O243" s="38">
        <f t="shared" si="10"/>
        <v>0</v>
      </c>
      <c r="P243" s="38">
        <f t="shared" si="10"/>
        <v>0</v>
      </c>
      <c r="Q243" s="38">
        <f t="shared" si="10"/>
        <v>0</v>
      </c>
    </row>
    <row r="245" spans="1:17" x14ac:dyDescent="0.2">
      <c r="G245" s="82"/>
    </row>
    <row r="246" spans="1:17" x14ac:dyDescent="0.2">
      <c r="B246" t="s">
        <v>138</v>
      </c>
    </row>
    <row r="247" spans="1:17" x14ac:dyDescent="0.2">
      <c r="I247" s="30" t="s">
        <v>139</v>
      </c>
    </row>
    <row r="248" spans="1:17" x14ac:dyDescent="0.2">
      <c r="D248" s="30">
        <v>1696</v>
      </c>
      <c r="E248" s="30">
        <v>13149</v>
      </c>
      <c r="F248" s="35">
        <v>1044</v>
      </c>
      <c r="G248" s="30">
        <v>8179</v>
      </c>
      <c r="H248" s="39"/>
      <c r="I248" s="64"/>
      <c r="J248"/>
      <c r="K248" s="40"/>
    </row>
    <row r="249" spans="1:17" x14ac:dyDescent="0.2">
      <c r="D249" s="115"/>
      <c r="E249" s="115"/>
      <c r="F249" s="103"/>
      <c r="G249" s="103"/>
      <c r="H249" s="105"/>
      <c r="I249" s="106"/>
      <c r="J249" s="116"/>
      <c r="K249" s="107"/>
    </row>
    <row r="250" spans="1:17" x14ac:dyDescent="0.2">
      <c r="D250" s="85">
        <f>D248-D243</f>
        <v>0</v>
      </c>
      <c r="E250" s="85">
        <f t="shared" ref="E250:G250" si="11">E248-E243</f>
        <v>0</v>
      </c>
      <c r="F250" s="85">
        <f t="shared" si="11"/>
        <v>0</v>
      </c>
      <c r="G250" s="85">
        <f t="shared" si="11"/>
        <v>-0.3000000000001819</v>
      </c>
      <c r="H250" s="85"/>
      <c r="I250" s="85"/>
      <c r="J250" s="85"/>
      <c r="K250" s="85"/>
    </row>
    <row r="251" spans="1:17" x14ac:dyDescent="0.2">
      <c r="E251" s="82"/>
      <c r="H251" s="41"/>
      <c r="I251" s="61"/>
      <c r="J251"/>
      <c r="K251" s="25"/>
    </row>
    <row r="252" spans="1:17" x14ac:dyDescent="0.2">
      <c r="D252" s="85"/>
      <c r="E252" s="85"/>
      <c r="F252" s="85"/>
      <c r="G252" s="85"/>
      <c r="H252" s="41"/>
      <c r="I252" s="61"/>
      <c r="J252"/>
      <c r="K252" s="42"/>
    </row>
    <row r="253" spans="1:17" x14ac:dyDescent="0.2">
      <c r="H253" s="41"/>
      <c r="I253" s="61"/>
      <c r="J253"/>
      <c r="K253" s="27"/>
    </row>
    <row r="254" spans="1:17" x14ac:dyDescent="0.2">
      <c r="H254" s="41"/>
      <c r="I254" s="61"/>
      <c r="J254"/>
      <c r="K254" s="27"/>
    </row>
    <row r="255" spans="1:17" x14ac:dyDescent="0.2">
      <c r="H255" s="41"/>
      <c r="I255" s="61"/>
      <c r="J255"/>
      <c r="K255" s="27"/>
    </row>
    <row r="256" spans="1:17" x14ac:dyDescent="0.2">
      <c r="H256" s="43"/>
      <c r="I256" s="62"/>
      <c r="J256"/>
      <c r="K256" s="44"/>
    </row>
    <row r="257" spans="8:11" x14ac:dyDescent="0.2">
      <c r="H257" s="26"/>
      <c r="I257" s="45"/>
      <c r="J257" s="45"/>
      <c r="K257" s="27"/>
    </row>
    <row r="258" spans="8:11" x14ac:dyDescent="0.2">
      <c r="H258" s="26"/>
      <c r="I258" s="45"/>
      <c r="J258" s="45"/>
      <c r="K258" s="27"/>
    </row>
    <row r="259" spans="8:11" x14ac:dyDescent="0.2">
      <c r="H259" s="26"/>
      <c r="I259" s="45"/>
      <c r="J259" s="45"/>
      <c r="K259" s="27"/>
    </row>
    <row r="260" spans="8:11" x14ac:dyDescent="0.2">
      <c r="H260" s="26"/>
      <c r="I260" s="63"/>
      <c r="J260"/>
      <c r="K260" s="27"/>
    </row>
    <row r="261" spans="8:11" x14ac:dyDescent="0.2">
      <c r="H261" s="26"/>
      <c r="I261" s="63"/>
      <c r="J261"/>
      <c r="K261" s="27"/>
    </row>
  </sheetData>
  <autoFilter ref="C18:C243"/>
  <customSheetViews>
    <customSheetView guid="{511E85F2-317A-4F57-8889-9FAECC5DF910}" scale="85" showAutoFilter="1" hiddenRows="1">
      <pane ySplit="16" topLeftCell="A17" activePane="bottomLeft" state="frozen"/>
      <selection pane="bottomLeft" activeCell="D16" sqref="D16:E16"/>
      <pageMargins left="0.75" right="0.75" top="1" bottom="1" header="0.5" footer="0.5"/>
      <pageSetup paperSize="9" scale="90" orientation="landscape" r:id="rId1"/>
      <headerFooter alignWithMargins="0"/>
      <autoFilter ref="C18:C243"/>
    </customSheetView>
    <customSheetView guid="{A743F9C7-8B89-4E8F-B91F-1FFB859064F2}" scale="85" showAutoFilter="1" hiddenRows="1">
      <pane ySplit="16" topLeftCell="A236" activePane="bottomLeft" state="frozen"/>
      <selection pane="bottomLeft" activeCell="E238" sqref="E238"/>
      <pageMargins left="0.75" right="0.75" top="1" bottom="1" header="0.5" footer="0.5"/>
      <pageSetup paperSize="9" scale="90" orientation="landscape" r:id="rId2"/>
      <headerFooter alignWithMargins="0"/>
      <autoFilter ref="C18:C243"/>
    </customSheetView>
  </customSheetViews>
  <pageMargins left="0.75" right="0.75" top="1" bottom="1" header="0.5" footer="0.5"/>
  <pageSetup paperSize="9" scale="90" orientation="landscape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511E85F2-317A-4F57-8889-9FAECC5DF910}" state="hidden">
      <pageMargins left="0.7" right="0.7" top="0.75" bottom="0.75" header="0.3" footer="0.3"/>
    </customSheetView>
    <customSheetView guid="{A743F9C7-8B89-4E8F-B91F-1FFB859064F2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511E85F2-317A-4F57-8889-9FAECC5DF910}" state="hidden">
      <pageMargins left="0.7" right="0.7" top="0.75" bottom="0.75" header="0.3" footer="0.3"/>
    </customSheetView>
    <customSheetView guid="{A743F9C7-8B89-4E8F-B91F-1FFB859064F2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511E85F2-317A-4F57-8889-9FAECC5DF910}" state="hidden">
      <pageMargins left="0.7" right="0.7" top="0.75" bottom="0.75" header="0.3" footer="0.3"/>
    </customSheetView>
    <customSheetView guid="{A743F9C7-8B89-4E8F-B91F-1FFB859064F2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Ноябрь 2013г</vt:lpstr>
      <vt:lpstr>октябрь 2014г</vt:lpstr>
      <vt:lpstr>октябрь 2014г. по 6-10</vt:lpstr>
      <vt:lpstr>октябрь 2014г. по 0,4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Данченко Игорь Васильевич</cp:lastModifiedBy>
  <dcterms:created xsi:type="dcterms:W3CDTF">2013-09-25T14:18:06Z</dcterms:created>
  <dcterms:modified xsi:type="dcterms:W3CDTF">2014-11-21T13:07:51Z</dcterms:modified>
</cp:coreProperties>
</file>