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3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43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142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1721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14211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513.xml" ContentType="application/vnd.openxmlformats-officedocument.spreadsheetml.revisionLog+xml"/>
  <Override PartName="/xl/revisions/revisionLog1143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11422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142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3221.xml" ContentType="application/vnd.openxmlformats-officedocument.spreadsheetml.revisionLog+xml"/>
  <Override PartName="/xl/revisions/revisionLog118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июнь 2014г" sheetId="1" r:id="rId3"/>
    <sheet name="июнь 2014г. по 6-10" sheetId="3" r:id="rId4"/>
    <sheet name="июнь 2014г. по 0,4" sheetId="4" r:id="rId5"/>
    <sheet name="Лист2" sheetId="6" state="hidden" r:id="rId6"/>
    <sheet name="Лист3" sheetId="7" state="hidden" r:id="rId7"/>
    <sheet name="Лист4" sheetId="8" state="hidden" r:id="rId8"/>
  </sheets>
  <definedNames>
    <definedName name="_xlnm._FilterDatabase" localSheetId="2" hidden="1">'июнь 2014г'!$C$21:$C$247</definedName>
    <definedName name="_xlnm._FilterDatabase" localSheetId="4" hidden="1">'июнь 2014г. по 0,4'!$C$18:$C$127</definedName>
    <definedName name="_xlnm._FilterDatabase" localSheetId="3" hidden="1">'июнь 2014г. по 6-10'!$C$21:$C$130</definedName>
    <definedName name="_xlnm._FilterDatabase" localSheetId="1" hidden="1">'Ноябрь 2013г'!$C$21:$C$131</definedName>
    <definedName name="Z_A743F9C7_8B89_4E8F_B91F_1FFB859064F2_.wvu.FilterData" localSheetId="2" hidden="1">'июнь 2014г'!$C$21:$C$247</definedName>
    <definedName name="Z_A743F9C7_8B89_4E8F_B91F_1FFB859064F2_.wvu.FilterData" localSheetId="4" hidden="1">'июнь 2014г. по 0,4'!$C$18:$C$127</definedName>
    <definedName name="Z_A743F9C7_8B89_4E8F_B91F_1FFB859064F2_.wvu.FilterData" localSheetId="3" hidden="1">'июнь 2014г. по 6-10'!$C$21:$C$130</definedName>
    <definedName name="Z_A743F9C7_8B89_4E8F_B91F_1FFB859064F2_.wvu.FilterData" localSheetId="1" hidden="1">'Ноябрь 2013г'!$C$21:$C$131</definedName>
    <definedName name="Z_A743F9C7_8B89_4E8F_B91F_1FFB859064F2_.wvu.Rows" localSheetId="4" hidden="1">'июнь 2014г. по 0,4'!$2:$12</definedName>
    <definedName name="Z_A743F9C7_8B89_4E8F_B91F_1FFB859064F2_.wvu.Rows" localSheetId="3" hidden="1">'июнь 2014г. по 6-10'!$2:$12</definedName>
    <definedName name="Z_BC21180C_85F6_44E9_8911_8FF77947F378_.wvu.FilterData" localSheetId="2" hidden="1">'июнь 2014г'!$C$21:$C$247</definedName>
    <definedName name="Z_BC21180C_85F6_44E9_8911_8FF77947F378_.wvu.FilterData" localSheetId="4" hidden="1">'июнь 2014г. по 0,4'!$C$18:$C$127</definedName>
    <definedName name="Z_BC21180C_85F6_44E9_8911_8FF77947F378_.wvu.FilterData" localSheetId="3" hidden="1">'июнь 2014г. по 6-10'!$C$21:$C$130</definedName>
    <definedName name="Z_BC21180C_85F6_44E9_8911_8FF77947F378_.wvu.FilterData" localSheetId="1" hidden="1">'Ноябрь 2013г'!$C$21:$C$131</definedName>
    <definedName name="Z_BC21180C_85F6_44E9_8911_8FF77947F378_.wvu.Rows" localSheetId="4" hidden="1">'июнь 2014г. по 0,4'!$2:$12</definedName>
    <definedName name="Z_BC21180C_85F6_44E9_8911_8FF77947F378_.wvu.Rows" localSheetId="3" hidden="1">'июнь 2014г. по 6-10'!$2:$12</definedName>
  </definedNames>
  <calcPr calcId="145621"/>
  <customWorkbookViews>
    <customWorkbookView name="Данченко Игорь Васильевич - Личное представление" guid="{BC21180C-85F6-44E9-8911-8FF77947F378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4" windowHeight="547" activeSheetId="3"/>
  </customWorkbookViews>
</workbook>
</file>

<file path=xl/calcChain.xml><?xml version="1.0" encoding="utf-8"?>
<calcChain xmlns="http://schemas.openxmlformats.org/spreadsheetml/2006/main">
  <c r="E122" i="3" l="1"/>
  <c r="D74" i="1"/>
  <c r="F74" i="1"/>
  <c r="H74" i="1"/>
  <c r="I74" i="1"/>
  <c r="J74" i="1"/>
  <c r="K74" i="1"/>
  <c r="L74" i="1"/>
  <c r="M74" i="1"/>
  <c r="N74" i="1"/>
  <c r="O74" i="1"/>
  <c r="P74" i="1"/>
  <c r="Q74" i="1"/>
  <c r="E63" i="4" l="1"/>
  <c r="E169" i="3"/>
  <c r="E58" i="3"/>
  <c r="E209" i="3"/>
  <c r="E109" i="3"/>
  <c r="E37" i="4"/>
  <c r="E171" i="4"/>
  <c r="E140" i="4"/>
  <c r="E38" i="4"/>
  <c r="E123" i="4"/>
  <c r="E64" i="4"/>
  <c r="G50" i="3"/>
  <c r="E50" i="3"/>
  <c r="E152" i="4"/>
  <c r="E181" i="4"/>
  <c r="E78" i="3"/>
  <c r="E170" i="3"/>
  <c r="E173" i="3"/>
  <c r="E111" i="3"/>
  <c r="E104" i="4"/>
  <c r="G36" i="4"/>
  <c r="E36" i="4"/>
  <c r="E101" i="4"/>
  <c r="E114" i="4"/>
  <c r="E74" i="4"/>
  <c r="E110" i="3"/>
  <c r="E36" i="3"/>
  <c r="E31" i="3"/>
  <c r="E78" i="4"/>
  <c r="G241" i="4"/>
  <c r="E241" i="4"/>
  <c r="E232" i="4"/>
  <c r="E71" i="4"/>
  <c r="E74" i="1" s="1"/>
  <c r="G71" i="4"/>
  <c r="G74" i="1" s="1"/>
  <c r="E206" i="4"/>
  <c r="E108" i="4"/>
  <c r="E107" i="4" l="1"/>
  <c r="E42" i="3"/>
  <c r="E41" i="3"/>
  <c r="E105" i="3"/>
  <c r="E67" i="4"/>
  <c r="E31" i="4"/>
  <c r="E90" i="4"/>
  <c r="E39" i="4"/>
  <c r="E83" i="4"/>
  <c r="E69" i="4"/>
  <c r="E110" i="4"/>
  <c r="E45" i="4"/>
  <c r="E97" i="3"/>
  <c r="E66" i="3"/>
  <c r="E102" i="4"/>
  <c r="E144" i="4"/>
  <c r="E147" i="4"/>
  <c r="E33" i="4"/>
  <c r="E30" i="3"/>
  <c r="E184" i="3"/>
  <c r="E202" i="3"/>
  <c r="E81" i="3"/>
  <c r="E35" i="3"/>
  <c r="E155" i="3"/>
  <c r="E94" i="4"/>
  <c r="E81" i="4"/>
  <c r="E98" i="3"/>
  <c r="E107" i="3"/>
  <c r="E48" i="3"/>
  <c r="G96" i="4"/>
  <c r="G82" i="4"/>
  <c r="G80" i="4"/>
  <c r="G75" i="4"/>
  <c r="G72" i="4"/>
  <c r="G65" i="4"/>
  <c r="G146" i="4"/>
  <c r="G145" i="4"/>
  <c r="G142" i="4"/>
  <c r="G139" i="4"/>
  <c r="G132" i="4"/>
  <c r="G128" i="4"/>
  <c r="G127" i="4"/>
  <c r="G126" i="4"/>
  <c r="G122" i="4"/>
  <c r="G121" i="4"/>
  <c r="G120" i="4"/>
  <c r="G119" i="4"/>
  <c r="G116" i="4"/>
  <c r="G109" i="4"/>
  <c r="G106" i="4"/>
  <c r="G105" i="4"/>
  <c r="G103" i="4"/>
  <c r="G239" i="4"/>
  <c r="G238" i="4"/>
  <c r="G223" i="4"/>
  <c r="G222" i="4"/>
  <c r="G219" i="4"/>
  <c r="G212" i="4"/>
  <c r="G209" i="4"/>
  <c r="G208" i="4"/>
  <c r="G207" i="4"/>
  <c r="G118" i="3"/>
  <c r="G147" i="3"/>
  <c r="G233" i="3"/>
  <c r="E80" i="4"/>
  <c r="E239" i="4"/>
  <c r="E223" i="4"/>
  <c r="E75" i="4"/>
  <c r="E118" i="3"/>
  <c r="E109" i="4"/>
  <c r="E51" i="4"/>
  <c r="E147" i="3"/>
  <c r="E233" i="3"/>
  <c r="E104" i="3"/>
  <c r="E214" i="3"/>
  <c r="E34" i="3"/>
  <c r="E67" i="3"/>
  <c r="E117" i="3"/>
  <c r="E103" i="4"/>
  <c r="E166" i="4"/>
  <c r="E55" i="4"/>
  <c r="E145" i="4"/>
  <c r="E90" i="3"/>
  <c r="E29" i="4"/>
  <c r="E43" i="3"/>
  <c r="E114" i="3"/>
  <c r="E197" i="3"/>
  <c r="E119" i="3"/>
  <c r="E126" i="4"/>
  <c r="E194" i="4"/>
  <c r="E222" i="4"/>
  <c r="E216" i="3"/>
  <c r="E33" i="3"/>
  <c r="E142" i="4"/>
  <c r="E30" i="4"/>
  <c r="E27" i="4"/>
  <c r="E139" i="4"/>
  <c r="E223" i="3"/>
  <c r="E37" i="3"/>
  <c r="E32" i="3"/>
  <c r="E116" i="4"/>
  <c r="E108" i="3"/>
  <c r="E63" i="3"/>
  <c r="E120" i="4"/>
  <c r="E52" i="4"/>
  <c r="E175" i="4"/>
  <c r="E128" i="4"/>
  <c r="E127" i="4"/>
  <c r="E105" i="4" l="1"/>
  <c r="E122" i="4"/>
  <c r="G101" i="3"/>
  <c r="E101" i="3"/>
  <c r="E119" i="4"/>
  <c r="E51" i="3"/>
  <c r="E35" i="4"/>
  <c r="E207" i="4"/>
  <c r="G167" i="4"/>
  <c r="E167" i="4"/>
  <c r="G199" i="4"/>
  <c r="E199" i="4"/>
  <c r="G26" i="3"/>
  <c r="E26" i="3"/>
  <c r="G34" i="4"/>
  <c r="E34" i="4"/>
  <c r="E96" i="4"/>
  <c r="G217" i="3"/>
  <c r="E217" i="3"/>
  <c r="G215" i="3"/>
  <c r="E215" i="3"/>
  <c r="G139" i="3"/>
  <c r="E139" i="3"/>
  <c r="E106" i="4"/>
  <c r="G38" i="3"/>
  <c r="E38" i="3"/>
  <c r="G56" i="4"/>
  <c r="E56" i="4"/>
  <c r="G40" i="4"/>
  <c r="E40" i="4"/>
  <c r="G178" i="3"/>
  <c r="E178" i="3"/>
  <c r="G112" i="3"/>
  <c r="E112" i="3"/>
  <c r="E132" i="4"/>
  <c r="E65" i="4"/>
  <c r="E146" i="4"/>
  <c r="E77" i="3"/>
  <c r="E209" i="4"/>
  <c r="G127" i="3"/>
  <c r="E126" i="3"/>
  <c r="E60" i="3"/>
  <c r="E121" i="4"/>
  <c r="E212" i="4"/>
  <c r="E219" i="4"/>
  <c r="E201" i="3"/>
  <c r="E127" i="3"/>
  <c r="G210" i="3"/>
  <c r="E210" i="3"/>
  <c r="G54" i="3"/>
  <c r="E54" i="3"/>
  <c r="E238" i="4"/>
  <c r="G68" i="3" l="1"/>
  <c r="E68" i="3"/>
  <c r="E208" i="4"/>
  <c r="G123" i="3"/>
  <c r="E123" i="3"/>
  <c r="G179" i="4"/>
  <c r="E179" i="4"/>
  <c r="I245" i="3" l="1"/>
  <c r="J245" i="3"/>
  <c r="K245" i="3"/>
  <c r="L245" i="3"/>
  <c r="M245" i="3"/>
  <c r="N245" i="3"/>
  <c r="O245" i="3"/>
  <c r="P245" i="3"/>
  <c r="Q245" i="3"/>
  <c r="G203" i="3"/>
  <c r="H203" i="3"/>
  <c r="I203" i="3"/>
  <c r="J203" i="3"/>
  <c r="K203" i="3"/>
  <c r="L203" i="3"/>
  <c r="M203" i="3"/>
  <c r="N203" i="3"/>
  <c r="O203" i="3"/>
  <c r="P203" i="3"/>
  <c r="Q203" i="3"/>
  <c r="G195" i="3"/>
  <c r="H195" i="3"/>
  <c r="I195" i="3"/>
  <c r="J195" i="3"/>
  <c r="K195" i="3"/>
  <c r="L195" i="3"/>
  <c r="M195" i="3"/>
  <c r="N195" i="3"/>
  <c r="O195" i="3"/>
  <c r="P195" i="3"/>
  <c r="Q195" i="3"/>
  <c r="P185" i="3"/>
  <c r="Q185" i="3"/>
  <c r="H185" i="3"/>
  <c r="I185" i="3"/>
  <c r="J185" i="3"/>
  <c r="K185" i="3"/>
  <c r="L185" i="3"/>
  <c r="M185" i="3"/>
  <c r="N185" i="3"/>
  <c r="O185" i="3"/>
  <c r="H153" i="3"/>
  <c r="I153" i="3"/>
  <c r="J153" i="3"/>
  <c r="L153" i="3"/>
  <c r="M153" i="3"/>
  <c r="N153" i="3"/>
  <c r="O153" i="3"/>
  <c r="P153" i="3"/>
  <c r="Q153" i="3"/>
  <c r="H102" i="3"/>
  <c r="I102" i="3"/>
  <c r="J102" i="3"/>
  <c r="K102" i="3"/>
  <c r="L102" i="3"/>
  <c r="M102" i="3"/>
  <c r="N102" i="3"/>
  <c r="O102" i="3"/>
  <c r="P102" i="3"/>
  <c r="Q102" i="3"/>
  <c r="H61" i="4"/>
  <c r="I61" i="4"/>
  <c r="J61" i="4"/>
  <c r="L61" i="4"/>
  <c r="M61" i="4"/>
  <c r="N61" i="4"/>
  <c r="O61" i="4"/>
  <c r="P61" i="4"/>
  <c r="Q61" i="4"/>
  <c r="H99" i="4"/>
  <c r="I99" i="4"/>
  <c r="J99" i="4"/>
  <c r="L99" i="4"/>
  <c r="M99" i="4"/>
  <c r="N99" i="4"/>
  <c r="O99" i="4"/>
  <c r="P99" i="4"/>
  <c r="Q99" i="4"/>
  <c r="H150" i="4"/>
  <c r="I150" i="4"/>
  <c r="J150" i="4"/>
  <c r="L150" i="4"/>
  <c r="M150" i="4"/>
  <c r="N150" i="4"/>
  <c r="O150" i="4"/>
  <c r="P150" i="4"/>
  <c r="Q150" i="4"/>
  <c r="F182" i="4"/>
  <c r="H182" i="4"/>
  <c r="I182" i="4"/>
  <c r="J182" i="4"/>
  <c r="K182" i="4"/>
  <c r="L182" i="4"/>
  <c r="M182" i="4"/>
  <c r="N182" i="4"/>
  <c r="O182" i="4"/>
  <c r="P182" i="4"/>
  <c r="Q182" i="4"/>
  <c r="K55" i="4"/>
  <c r="K58" i="1" s="1"/>
  <c r="K40" i="4"/>
  <c r="K64" i="4"/>
  <c r="K67" i="1" s="1"/>
  <c r="K63" i="4"/>
  <c r="K66" i="1" s="1"/>
  <c r="K104" i="4"/>
  <c r="K107" i="1" s="1"/>
  <c r="K117" i="3"/>
  <c r="K153" i="3" s="1"/>
  <c r="K122" i="4"/>
  <c r="K125" i="1" s="1"/>
  <c r="K65" i="4"/>
  <c r="K68" i="1" s="1"/>
  <c r="K27" i="4"/>
  <c r="K109" i="4"/>
  <c r="K33" i="4"/>
  <c r="K38" i="4"/>
  <c r="K41" i="1" s="1"/>
  <c r="H64" i="3"/>
  <c r="I64" i="3"/>
  <c r="J64" i="3"/>
  <c r="L64" i="3"/>
  <c r="M64" i="3"/>
  <c r="N64" i="3"/>
  <c r="O64" i="3"/>
  <c r="P64" i="3"/>
  <c r="Q64" i="3"/>
  <c r="K238" i="4"/>
  <c r="K37" i="4"/>
  <c r="K105" i="4"/>
  <c r="K108" i="1" s="1"/>
  <c r="K108" i="4"/>
  <c r="K111" i="1" s="1"/>
  <c r="K53" i="4"/>
  <c r="K39" i="4"/>
  <c r="K34" i="3"/>
  <c r="K64" i="3" s="1"/>
  <c r="F242" i="4"/>
  <c r="H242" i="4"/>
  <c r="I242" i="4"/>
  <c r="J242" i="4"/>
  <c r="K242" i="4"/>
  <c r="L242" i="4"/>
  <c r="M242" i="4"/>
  <c r="N242" i="4"/>
  <c r="O242" i="4"/>
  <c r="P242" i="4"/>
  <c r="Q242" i="4"/>
  <c r="F245" i="3"/>
  <c r="G245" i="3"/>
  <c r="H245" i="3"/>
  <c r="Q244" i="1"/>
  <c r="P244" i="1"/>
  <c r="O244" i="1"/>
  <c r="N244" i="1"/>
  <c r="M244" i="1"/>
  <c r="L244" i="1"/>
  <c r="K244" i="1"/>
  <c r="J244" i="1"/>
  <c r="I244" i="1"/>
  <c r="H244" i="1"/>
  <c r="Q243" i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2" i="1"/>
  <c r="P202" i="1"/>
  <c r="O202" i="1"/>
  <c r="N202" i="1"/>
  <c r="M202" i="1"/>
  <c r="L202" i="1"/>
  <c r="K202" i="1"/>
  <c r="J202" i="1"/>
  <c r="I202" i="1"/>
  <c r="H202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O197" i="1"/>
  <c r="N197" i="1"/>
  <c r="M197" i="1"/>
  <c r="L197" i="1"/>
  <c r="K197" i="1"/>
  <c r="J197" i="1"/>
  <c r="I197" i="1"/>
  <c r="H197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O187" i="1"/>
  <c r="N187" i="1"/>
  <c r="M187" i="1"/>
  <c r="L187" i="1"/>
  <c r="K187" i="1"/>
  <c r="J187" i="1"/>
  <c r="I187" i="1"/>
  <c r="H187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H156" i="1"/>
  <c r="Q155" i="1"/>
  <c r="P155" i="1"/>
  <c r="O155" i="1"/>
  <c r="N155" i="1"/>
  <c r="M155" i="1"/>
  <c r="L155" i="1"/>
  <c r="K155" i="1"/>
  <c r="J155" i="1"/>
  <c r="I155" i="1"/>
  <c r="H155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N104" i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J111" i="1"/>
  <c r="I111" i="1"/>
  <c r="H111" i="1"/>
  <c r="K110" i="1"/>
  <c r="J110" i="1"/>
  <c r="I110" i="1"/>
  <c r="H110" i="1"/>
  <c r="K109" i="1"/>
  <c r="J109" i="1"/>
  <c r="I109" i="1"/>
  <c r="H109" i="1"/>
  <c r="J108" i="1"/>
  <c r="I108" i="1"/>
  <c r="H108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I104" i="1"/>
  <c r="H104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J68" i="1"/>
  <c r="I68" i="1"/>
  <c r="H68" i="1"/>
  <c r="J67" i="1"/>
  <c r="I67" i="1"/>
  <c r="H67" i="1"/>
  <c r="J66" i="1"/>
  <c r="I66" i="1"/>
  <c r="H66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4" i="1"/>
  <c r="D244" i="1"/>
  <c r="G243" i="1"/>
  <c r="F243" i="1"/>
  <c r="E243" i="1"/>
  <c r="D243" i="1"/>
  <c r="G242" i="1"/>
  <c r="F242" i="1"/>
  <c r="E242" i="1"/>
  <c r="D242" i="1"/>
  <c r="F241" i="1"/>
  <c r="D241" i="1"/>
  <c r="G240" i="1"/>
  <c r="F240" i="1"/>
  <c r="E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F225" i="1"/>
  <c r="D225" i="1"/>
  <c r="G224" i="1"/>
  <c r="F224" i="1"/>
  <c r="E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F215" i="1"/>
  <c r="D215" i="1"/>
  <c r="G214" i="1"/>
  <c r="F214" i="1"/>
  <c r="E214" i="1"/>
  <c r="D214" i="1"/>
  <c r="G213" i="1"/>
  <c r="F213" i="1"/>
  <c r="E213" i="1"/>
  <c r="D213" i="1"/>
  <c r="G212" i="1"/>
  <c r="F212" i="1"/>
  <c r="E212" i="1"/>
  <c r="D212" i="1"/>
  <c r="G211" i="1"/>
  <c r="F211" i="1"/>
  <c r="D211" i="1"/>
  <c r="G210" i="1"/>
  <c r="F210" i="1"/>
  <c r="E210" i="1"/>
  <c r="D210" i="1"/>
  <c r="F209" i="1"/>
  <c r="D209" i="1"/>
  <c r="G208" i="1"/>
  <c r="F208" i="1"/>
  <c r="E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2" i="1"/>
  <c r="F202" i="1"/>
  <c r="E202" i="1"/>
  <c r="D202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D245" i="3"/>
  <c r="E245" i="3"/>
  <c r="F203" i="3"/>
  <c r="E203" i="3"/>
  <c r="D203" i="3"/>
  <c r="F195" i="3"/>
  <c r="E195" i="3"/>
  <c r="D195" i="3"/>
  <c r="F185" i="3"/>
  <c r="D185" i="3"/>
  <c r="G167" i="3"/>
  <c r="G167" i="1" s="1"/>
  <c r="E167" i="3"/>
  <c r="E167" i="1" s="1"/>
  <c r="G185" i="3"/>
  <c r="E185" i="3"/>
  <c r="F153" i="3"/>
  <c r="D153" i="3"/>
  <c r="G153" i="3"/>
  <c r="E153" i="3"/>
  <c r="F102" i="3"/>
  <c r="D102" i="3"/>
  <c r="G102" i="3"/>
  <c r="E102" i="3"/>
  <c r="F64" i="3"/>
  <c r="D64" i="3"/>
  <c r="G64" i="3"/>
  <c r="E64" i="3"/>
  <c r="D242" i="4"/>
  <c r="G244" i="1"/>
  <c r="E244" i="1"/>
  <c r="G241" i="1"/>
  <c r="E241" i="1"/>
  <c r="G225" i="1"/>
  <c r="E225" i="1"/>
  <c r="G215" i="1"/>
  <c r="E215" i="1"/>
  <c r="E211" i="1"/>
  <c r="G242" i="4"/>
  <c r="E242" i="4"/>
  <c r="J200" i="4"/>
  <c r="I200" i="4"/>
  <c r="G200" i="4"/>
  <c r="F200" i="4"/>
  <c r="E200" i="4"/>
  <c r="D200" i="4"/>
  <c r="J192" i="4"/>
  <c r="I192" i="4"/>
  <c r="G192" i="4"/>
  <c r="F192" i="4"/>
  <c r="E192" i="4"/>
  <c r="D192" i="4"/>
  <c r="D182" i="4"/>
  <c r="G182" i="1"/>
  <c r="E182" i="1"/>
  <c r="G176" i="4"/>
  <c r="G179" i="1" s="1"/>
  <c r="E176" i="4"/>
  <c r="E179" i="1" s="1"/>
  <c r="G174" i="1"/>
  <c r="E174" i="1"/>
  <c r="G182" i="4"/>
  <c r="E182" i="4"/>
  <c r="F150" i="4"/>
  <c r="D150" i="4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150" i="4"/>
  <c r="E150" i="4"/>
  <c r="F99" i="4"/>
  <c r="D99" i="4"/>
  <c r="G99" i="1"/>
  <c r="E99" i="1"/>
  <c r="G85" i="1"/>
  <c r="E82" i="4"/>
  <c r="E85" i="1" s="1"/>
  <c r="G83" i="1"/>
  <c r="E83" i="1"/>
  <c r="G75" i="1"/>
  <c r="E72" i="4"/>
  <c r="E75" i="1" s="1"/>
  <c r="G68" i="1"/>
  <c r="E68" i="1"/>
  <c r="G67" i="1"/>
  <c r="E67" i="1"/>
  <c r="G99" i="4"/>
  <c r="F61" i="4"/>
  <c r="D61" i="4"/>
  <c r="G59" i="1"/>
  <c r="E59" i="1"/>
  <c r="G58" i="1"/>
  <c r="E58" i="1"/>
  <c r="G53" i="4"/>
  <c r="G56" i="1" s="1"/>
  <c r="E53" i="4"/>
  <c r="E56" i="1" s="1"/>
  <c r="G42" i="4"/>
  <c r="G45" i="1" s="1"/>
  <c r="E42" i="4"/>
  <c r="E45" i="1" s="1"/>
  <c r="E43" i="1"/>
  <c r="G41" i="1"/>
  <c r="E41" i="1"/>
  <c r="G40" i="1"/>
  <c r="E40" i="1"/>
  <c r="G36" i="1"/>
  <c r="E36" i="1"/>
  <c r="G30" i="1"/>
  <c r="E30" i="1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G246" i="3" l="1"/>
  <c r="G247" i="3" s="1"/>
  <c r="E99" i="4"/>
  <c r="G61" i="4"/>
  <c r="G243" i="4" s="1"/>
  <c r="G244" i="4" s="1"/>
  <c r="P243" i="4"/>
  <c r="P244" i="4" s="1"/>
  <c r="L243" i="4"/>
  <c r="L244" i="4" s="1"/>
  <c r="K185" i="1"/>
  <c r="O185" i="1"/>
  <c r="K195" i="1"/>
  <c r="O195" i="1"/>
  <c r="K203" i="1"/>
  <c r="O203" i="1"/>
  <c r="K245" i="1"/>
  <c r="O245" i="1"/>
  <c r="O243" i="4"/>
  <c r="O244" i="4" s="1"/>
  <c r="H243" i="4"/>
  <c r="H244" i="4" s="1"/>
  <c r="N243" i="4"/>
  <c r="N244" i="4" s="1"/>
  <c r="Q243" i="4"/>
  <c r="Q244" i="4" s="1"/>
  <c r="M243" i="4"/>
  <c r="M244" i="4" s="1"/>
  <c r="I64" i="1"/>
  <c r="J185" i="1"/>
  <c r="N185" i="1"/>
  <c r="J195" i="1"/>
  <c r="N195" i="1"/>
  <c r="J203" i="1"/>
  <c r="N203" i="1"/>
  <c r="J245" i="1"/>
  <c r="N245" i="1"/>
  <c r="I246" i="3"/>
  <c r="I247" i="3" s="1"/>
  <c r="J153" i="1"/>
  <c r="O246" i="3"/>
  <c r="O247" i="3" s="1"/>
  <c r="J246" i="3"/>
  <c r="J247" i="3" s="1"/>
  <c r="H153" i="1"/>
  <c r="L64" i="1"/>
  <c r="P64" i="1"/>
  <c r="N102" i="1"/>
  <c r="L153" i="1"/>
  <c r="P153" i="1"/>
  <c r="H64" i="1"/>
  <c r="H102" i="1"/>
  <c r="J102" i="1"/>
  <c r="I153" i="1"/>
  <c r="Q64" i="1"/>
  <c r="O102" i="1"/>
  <c r="M153" i="1"/>
  <c r="Q153" i="1"/>
  <c r="N246" i="3"/>
  <c r="N247" i="3" s="1"/>
  <c r="Q246" i="3"/>
  <c r="Q247" i="3" s="1"/>
  <c r="M246" i="3"/>
  <c r="M247" i="3" s="1"/>
  <c r="P246" i="3"/>
  <c r="P247" i="3" s="1"/>
  <c r="L246" i="3"/>
  <c r="L247" i="3" s="1"/>
  <c r="H246" i="3"/>
  <c r="H247" i="3" s="1"/>
  <c r="K102" i="1"/>
  <c r="I102" i="1"/>
  <c r="N64" i="1"/>
  <c r="P102" i="1"/>
  <c r="H185" i="1"/>
  <c r="E61" i="4"/>
  <c r="F243" i="4"/>
  <c r="F244" i="4" s="1"/>
  <c r="K64" i="1"/>
  <c r="K153" i="1"/>
  <c r="O64" i="1"/>
  <c r="M102" i="1"/>
  <c r="Q102" i="1"/>
  <c r="O153" i="1"/>
  <c r="I185" i="1"/>
  <c r="M185" i="1"/>
  <c r="Q185" i="1"/>
  <c r="I195" i="1"/>
  <c r="M195" i="1"/>
  <c r="Q195" i="1"/>
  <c r="I203" i="1"/>
  <c r="M203" i="1"/>
  <c r="Q203" i="1"/>
  <c r="I245" i="1"/>
  <c r="M245" i="1"/>
  <c r="Q245" i="1"/>
  <c r="M64" i="1"/>
  <c r="L102" i="1"/>
  <c r="N153" i="1"/>
  <c r="L185" i="1"/>
  <c r="P185" i="1"/>
  <c r="H195" i="1"/>
  <c r="L195" i="1"/>
  <c r="P195" i="1"/>
  <c r="H203" i="1"/>
  <c r="L203" i="1"/>
  <c r="P203" i="1"/>
  <c r="H245" i="1"/>
  <c r="L245" i="1"/>
  <c r="P245" i="1"/>
  <c r="K61" i="4"/>
  <c r="K150" i="4"/>
  <c r="K99" i="4"/>
  <c r="K246" i="3"/>
  <c r="K247" i="3" s="1"/>
  <c r="F246" i="3"/>
  <c r="F247" i="3" s="1"/>
  <c r="I243" i="4"/>
  <c r="I244" i="4" s="1"/>
  <c r="J243" i="4"/>
  <c r="J244" i="4" s="1"/>
  <c r="G66" i="1"/>
  <c r="G102" i="1" s="1"/>
  <c r="E66" i="1"/>
  <c r="E102" i="1" s="1"/>
  <c r="E155" i="1"/>
  <c r="E185" i="1" s="1"/>
  <c r="G155" i="1"/>
  <c r="G185" i="1" s="1"/>
  <c r="E209" i="1"/>
  <c r="E245" i="1" s="1"/>
  <c r="G209" i="1"/>
  <c r="G245" i="1" s="1"/>
  <c r="J64" i="1"/>
  <c r="D246" i="3"/>
  <c r="D247" i="3" s="1"/>
  <c r="D243" i="4"/>
  <c r="D244" i="4" s="1"/>
  <c r="E246" i="3"/>
  <c r="E247" i="3" s="1"/>
  <c r="E64" i="1"/>
  <c r="F64" i="1"/>
  <c r="G64" i="1"/>
  <c r="D64" i="1"/>
  <c r="F102" i="1"/>
  <c r="D102" i="1"/>
  <c r="E153" i="1"/>
  <c r="F153" i="1"/>
  <c r="G153" i="1"/>
  <c r="D153" i="1"/>
  <c r="F185" i="1"/>
  <c r="D185" i="1"/>
  <c r="E195" i="1"/>
  <c r="F195" i="1"/>
  <c r="D195" i="1"/>
  <c r="E203" i="1"/>
  <c r="F203" i="1"/>
  <c r="G203" i="1"/>
  <c r="D203" i="1"/>
  <c r="F245" i="1"/>
  <c r="D245" i="1"/>
  <c r="E243" i="4" l="1"/>
  <c r="E244" i="4" s="1"/>
  <c r="K246" i="1"/>
  <c r="K247" i="1" s="1"/>
  <c r="K243" i="4"/>
  <c r="K244" i="4" s="1"/>
  <c r="J246" i="1"/>
  <c r="J247" i="1" s="1"/>
  <c r="M246" i="1"/>
  <c r="M247" i="1" s="1"/>
  <c r="Q246" i="1"/>
  <c r="Q247" i="1" s="1"/>
  <c r="P246" i="1"/>
  <c r="P247" i="1" s="1"/>
  <c r="L246" i="1"/>
  <c r="L247" i="1" s="1"/>
  <c r="I246" i="1"/>
  <c r="I247" i="1" s="1"/>
  <c r="N246" i="1"/>
  <c r="N247" i="1" s="1"/>
  <c r="H246" i="1"/>
  <c r="H247" i="1" s="1"/>
  <c r="O246" i="1"/>
  <c r="O247" i="1" s="1"/>
  <c r="G246" i="1"/>
  <c r="G247" i="1" s="1"/>
  <c r="F246" i="1"/>
  <c r="F247" i="1" s="1"/>
  <c r="E246" i="1"/>
  <c r="E247" i="1" s="1"/>
  <c r="D246" i="1"/>
  <c r="D247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F30" i="2" l="1"/>
  <c r="E30" i="2"/>
  <c r="D30" i="2"/>
  <c r="G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G63" i="2" l="1"/>
  <c r="D52" i="2"/>
  <c r="J78" i="2"/>
  <c r="G91" i="2"/>
  <c r="J115" i="2"/>
  <c r="D115" i="2"/>
  <c r="F115" i="2"/>
  <c r="F129" i="2"/>
  <c r="K63" i="2"/>
  <c r="D70" i="2"/>
  <c r="J70" i="2"/>
  <c r="D78" i="2"/>
  <c r="F78" i="2"/>
  <c r="J129" i="2"/>
  <c r="F52" i="2"/>
  <c r="J52" i="2"/>
  <c r="Q130" i="2"/>
  <c r="I130" i="2"/>
  <c r="M130" i="2"/>
  <c r="J102" i="2"/>
  <c r="D129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F130" i="2" l="1"/>
  <c r="F131" i="2" s="1"/>
  <c r="D130" i="2"/>
  <c r="D131" i="2" s="1"/>
  <c r="G130" i="2"/>
  <c r="K130" i="2"/>
  <c r="E130" i="2"/>
  <c r="E131" i="2" s="1"/>
  <c r="J130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<sst xmlns="http://schemas.openxmlformats.org/spreadsheetml/2006/main" count="950" uniqueCount="364">
  <si>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</si>
  <si>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</si>
  <si>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</si>
  <si>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</si>
  <si>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</si>
  <si>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</si>
  <si>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</si>
  <si>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</si>
  <si>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</si>
  <si>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</si>
  <si>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</si>
  <si>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</si>
  <si>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</si>
  <si>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</si>
  <si>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</si>
  <si>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</si>
  <si>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</si>
  <si>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</si>
  <si>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</si>
  <si>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</si>
  <si>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</si>
  <si>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</si>
  <si>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</si>
  <si>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</si>
  <si>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</si>
  <si>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</si>
  <si>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</si>
  <si>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</si>
  <si>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</si>
  <si>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</si>
  <si>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</si>
  <si>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</si>
  <si>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</si>
  <si>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</si>
  <si>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</si>
  <si>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</si>
  <si>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</si>
  <si>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</si>
  <si>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</si>
  <si>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</si>
  <si>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</si>
  <si>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</si>
  <si>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</si>
  <si>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</si>
  <si>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</si>
  <si>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</si>
  <si>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</si>
  <si>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</si>
  <si>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</si>
  <si>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</si>
  <si>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</si>
  <si>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</si>
  <si>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</si>
  <si>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</si>
  <si>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</si>
  <si>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</si>
  <si>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</si>
  <si>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</si>
  <si>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</si>
  <si>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</si>
  <si>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</si>
  <si>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</si>
  <si>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</si>
  <si>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</si>
  <si>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</si>
  <si>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</si>
  <si>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</si>
  <si>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</si>
  <si>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</si>
  <si>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</si>
  <si>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</si>
  <si>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</si>
  <si>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</si>
  <si>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</si>
  <si>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</si>
  <si>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</si>
  <si>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</si>
  <si>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</si>
  <si>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</si>
  <si>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</si>
  <si>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</si>
  <si>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</si>
  <si>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</si>
  <si>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</si>
  <si>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</si>
  <si>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</si>
  <si>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</si>
  <si>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</si>
  <si>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</si>
  <si>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</si>
  <si>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</si>
  <si>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</si>
  <si>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</si>
  <si>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</si>
  <si>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</si>
  <si>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</si>
  <si>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</si>
  <si>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</si>
  <si>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</si>
  <si>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</si>
  <si>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</si>
  <si>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</si>
  <si>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</si>
  <si>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</si>
  <si>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</si>
  <si>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</si>
  <si>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</si>
  <si>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</si>
  <si>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</si>
  <si>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</si>
  <si>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</si>
  <si>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</si>
  <si>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</si>
  <si>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</si>
  <si>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</si>
  <si>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</si>
  <si>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</si>
  <si>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</si>
  <si>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</si>
  <si>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</si>
  <si>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</si>
  <si>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</si>
  <si>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</si>
  <si>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</si>
  <si>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</si>
  <si>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</si>
  <si>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</si>
  <si>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</si>
  <si>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</si>
  <si>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</si>
  <si>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</si>
  <si>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</si>
  <si>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</si>
  <si>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</si>
  <si>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</si>
  <si>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</si>
  <si>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</si>
  <si>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</si>
  <si>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</si>
  <si>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</si>
  <si>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</si>
  <si>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</si>
  <si>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</si>
  <si>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</si>
  <si>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</si>
  <si>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</si>
  <si>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</si>
  <si>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</si>
  <si>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</si>
  <si>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</si>
  <si>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</si>
  <si>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</si>
  <si>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</si>
  <si>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</si>
  <si>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</si>
  <si>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</si>
  <si>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</si>
  <si>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</si>
  <si>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</si>
  <si>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</si>
  <si>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</si>
  <si>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</si>
  <si>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</si>
  <si>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</si>
  <si>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</si>
  <si>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</si>
  <si>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</si>
  <si>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</si>
  <si>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</si>
  <si>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</si>
  <si>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</si>
  <si>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</si>
  <si>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</si>
  <si>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</si>
  <si>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</si>
  <si>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</si>
  <si>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</si>
  <si>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</si>
  <si>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</si>
  <si>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</si>
  <si>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</si>
  <si>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</si>
  <si>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</si>
  <si>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</si>
  <si>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</si>
  <si>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</si>
  <si>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</si>
  <si>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</si>
  <si>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</si>
  <si>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</si>
  <si>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</si>
  <si>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</si>
  <si>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</si>
  <si>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</si>
  <si>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</si>
  <si>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</si>
  <si>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</si>
  <si>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</si>
  <si>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</si>
  <si>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</si>
  <si>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</si>
  <si>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</si>
  <si>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</si>
  <si>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</si>
  <si>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</si>
  <si>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</si>
  <si>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</si>
  <si>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</si>
  <si>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</si>
  <si>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</si>
  <si>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</si>
  <si>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</si>
  <si>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</si>
  <si>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</si>
  <si>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</si>
  <si>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</si>
  <si>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</si>
  <si>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</si>
  <si>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</si>
  <si>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</si>
  <si>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</si>
  <si>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</si>
  <si>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</si>
  <si>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</si>
  <si>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</si>
  <si>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</si>
  <si>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</si>
  <si>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</si>
  <si>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</si>
  <si>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</si>
  <si>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</si>
  <si>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</si>
  <si>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</si>
  <si>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</si>
  <si>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</si>
  <si>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</si>
  <si>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</si>
  <si>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</si>
  <si>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</si>
  <si>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</si>
  <si>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</si>
  <si>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</si>
  <si>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</si>
  <si>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</si>
  <si>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</si>
  <si>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</si>
  <si>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</si>
  <si>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</si>
  <si>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</si>
  <si>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</si>
  <si>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</si>
  <si>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</si>
  <si>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</si>
  <si>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</si>
  <si>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</si>
  <si>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</si>
  <si>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</si>
  <si>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</si>
  <si>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</si>
  <si>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</si>
  <si>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</si>
  <si>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</si>
  <si>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</si>
  <si>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</si>
  <si>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</si>
  <si>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</si>
  <si>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</si>
  <si>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</si>
  <si>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</si>
  <si>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</si>
  <si>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</si>
  <si>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</si>
  <si>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</si>
  <si>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</si>
  <si>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</si>
  <si>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</si>
  <si>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</si>
  <si>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</si>
  <si>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</si>
  <si>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</si>
  <si>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</si>
  <si>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</si>
  <si>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</si>
  <si>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</si>
  <si>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</si>
  <si>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</si>
  <si>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</si>
  <si>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</si>
  <si>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</si>
  <si>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</si>
  <si>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</si>
  <si>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</si>
  <si>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</si>
  <si>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</si>
  <si>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</si>
  <si>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</si>
  <si>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</si>
  <si>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</si>
  <si>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</si>
  <si>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</si>
  <si>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</si>
  <si>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</si>
  <si>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</si>
  <si>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</si>
  <si>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</si>
  <si>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</si>
  <si>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</si>
  <si>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</si>
  <si>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</si>
  <si>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</si>
  <si>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</si>
  <si>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</si>
  <si>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</si>
  <si>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</si>
  <si>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</si>
  <si>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</si>
  <si>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</si>
  <si>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</si>
  <si>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</si>
  <si>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</si>
  <si>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</si>
  <si>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</si>
  <si>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</si>
  <si>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</si>
  <si>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</si>
  <si>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</si>
  <si>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</si>
  <si>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</si>
  <si>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</si>
  <si>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</si>
  <si>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</si>
  <si>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</si>
  <si>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</si>
  <si>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</si>
  <si>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</si>
  <si>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</si>
  <si>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</si>
  <si>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</si>
  <si>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</si>
  <si>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</si>
  <si>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</si>
  <si>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</si>
  <si>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</si>
  <si>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</si>
  <si>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</si>
  <si>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</si>
  <si>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ПС ЗТМ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</si>
  <si>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</si>
  <si>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</si>
  <si>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</si>
  <si>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</si>
  <si>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</si>
  <si>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</si>
  <si>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</si>
  <si>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</si>
  <si>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</si>
  <si>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</si>
  <si>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</si>
  <si>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</si>
  <si>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</si>
  <si>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</si>
  <si>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</si>
  <si>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</si>
  <si>
    <t xml:space="preserve">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</si>
</sst>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45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16" fillId="0" borderId="12" xfId="4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0" borderId="0" xfId="0" applyNumberFormat="1" applyFill="1"/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16" fontId="13" fillId="0" borderId="0" xfId="12" applyNumberFormat="1" applyFont="1" applyFill="1" applyBorder="1" applyAlignment="1">
      <alignment vertical="center" wrapText="1"/>
    </xf>
    <xf numFmtId="0" fontId="13" fillId="0" borderId="0" xfId="12" applyFont="1" applyFill="1" applyBorder="1" applyAlignment="1">
      <alignment horizontal="center" vertical="center" wrapText="1"/>
    </xf>
    <xf numFmtId="0" fontId="14" fillId="0" borderId="0" xfId="12" applyFont="1" applyFill="1" applyBorder="1" applyAlignment="1">
      <alignment vertical="center" wrapText="1"/>
    </xf>
    <xf numFmtId="0" fontId="13" fillId="0" borderId="0" xfId="12" applyFont="1" applyFill="1" applyBorder="1" applyAlignment="1">
      <alignment horizontal="center" vertical="center"/>
    </xf>
    <xf numFmtId="0" fontId="14" fillId="0" borderId="0" xfId="12" applyFont="1" applyFill="1" applyBorder="1" applyAlignment="1">
      <alignment horizontal="center" vertical="center" wrapText="1"/>
    </xf>
    <xf numFmtId="0" fontId="14" fillId="0" borderId="0" xfId="12" applyFont="1" applyFill="1" applyBorder="1" applyAlignment="1">
      <alignment horizontal="left" wrapText="1"/>
    </xf>
    <xf numFmtId="0" fontId="14" fillId="0" borderId="0" xfId="12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4" fillId="0" borderId="0" xfId="4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wrapText="1"/>
    </xf>
    <xf numFmtId="2" fontId="17" fillId="0" borderId="1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9" fillId="0" borderId="10" xfId="4" applyFont="1" applyFill="1" applyBorder="1" applyAlignment="1">
      <alignment horizontal="center" wrapText="1"/>
    </xf>
    <xf numFmtId="0" fontId="13" fillId="3" borderId="10" xfId="12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14" fillId="0" borderId="0" xfId="12" applyFont="1" applyFill="1" applyBorder="1" applyAlignment="1">
      <alignment horizontal="center" vertical="center" wrapText="1"/>
    </xf>
    <xf numFmtId="0" fontId="14" fillId="0" borderId="0" xfId="12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13" fillId="0" borderId="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revisionHeaders" Target="revisions/revisionHeader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usernames" Target="revisions/userNames.xml"/></Relationships>
</file>

<file path=xl/revisions/_rels/revisionHeaders.xml.rels><?xml version="1.0" encoding="UTF-8" standalone="yes"?>
<Relationships xmlns="http://schemas.openxmlformats.org/package/2006/relationships"><Relationship Id="rId175" Type="http://schemas.openxmlformats.org/officeDocument/2006/relationships/revisionLog" Target="revisionLog113.xml"/><Relationship Id="rId159" Type="http://schemas.openxmlformats.org/officeDocument/2006/relationships/revisionLog" Target="revisionLog19.xml"/><Relationship Id="rId154" Type="http://schemas.openxmlformats.org/officeDocument/2006/relationships/revisionLog" Target="revisionLog15.xml"/><Relationship Id="rId138" Type="http://schemas.openxmlformats.org/officeDocument/2006/relationships/revisionLog" Target="revisionLog13.xml"/><Relationship Id="rId133" Type="http://schemas.openxmlformats.org/officeDocument/2006/relationships/revisionLog" Target="revisionLog12.xml"/><Relationship Id="rId120" Type="http://schemas.openxmlformats.org/officeDocument/2006/relationships/revisionLog" Target="revisionLog1261.xml"/><Relationship Id="rId125" Type="http://schemas.openxmlformats.org/officeDocument/2006/relationships/revisionLog" Target="revisionLog1271.xml"/><Relationship Id="rId141" Type="http://schemas.openxmlformats.org/officeDocument/2006/relationships/revisionLog" Target="revisionLog1281.xml"/><Relationship Id="rId146" Type="http://schemas.openxmlformats.org/officeDocument/2006/relationships/revisionLog" Target="revisionLog1291.xml"/><Relationship Id="rId167" Type="http://schemas.openxmlformats.org/officeDocument/2006/relationships/revisionLog" Target="revisionLog130.xml"/><Relationship Id="rId170" Type="http://schemas.openxmlformats.org/officeDocument/2006/relationships/revisionLog" Target="revisionLog1131.xml"/><Relationship Id="rId162" Type="http://schemas.openxmlformats.org/officeDocument/2006/relationships/revisionLog" Target="revisionLog12021.xml"/><Relationship Id="rId153" Type="http://schemas.openxmlformats.org/officeDocument/2006/relationships/revisionLog" Target="revisionLog1143.xml"/><Relationship Id="rId166" Type="http://schemas.openxmlformats.org/officeDocument/2006/relationships/revisionLog" Target="revisionLog120.xml"/><Relationship Id="rId132" Type="http://schemas.openxmlformats.org/officeDocument/2006/relationships/revisionLog" Target="revisionLog11421.xml"/><Relationship Id="rId179" Type="http://schemas.openxmlformats.org/officeDocument/2006/relationships/revisionLog" Target="revisionLog1.xml"/><Relationship Id="rId174" Type="http://schemas.openxmlformats.org/officeDocument/2006/relationships/revisionLog" Target="revisionLog1242.xml"/><Relationship Id="rId140" Type="http://schemas.openxmlformats.org/officeDocument/2006/relationships/revisionLog" Target="revisionLog11721.xml"/><Relationship Id="rId145" Type="http://schemas.openxmlformats.org/officeDocument/2006/relationships/revisionLog" Target="revisionLog123.xml"/><Relationship Id="rId161" Type="http://schemas.openxmlformats.org/officeDocument/2006/relationships/revisionLog" Target="revisionLog1191.xml"/><Relationship Id="rId182" Type="http://schemas.openxmlformats.org/officeDocument/2006/relationships/revisionLog" Target="revisionLog4.xml"/><Relationship Id="rId144" Type="http://schemas.openxmlformats.org/officeDocument/2006/relationships/revisionLog" Target="revisionLog191.xml"/><Relationship Id="rId149" Type="http://schemas.openxmlformats.org/officeDocument/2006/relationships/revisionLog" Target="revisionLog11311.xml"/><Relationship Id="rId128" Type="http://schemas.openxmlformats.org/officeDocument/2006/relationships/revisionLog" Target="revisionLog151.xml"/><Relationship Id="rId123" Type="http://schemas.openxmlformats.org/officeDocument/2006/relationships/revisionLog" Target="revisionLog121.xml"/><Relationship Id="rId157" Type="http://schemas.openxmlformats.org/officeDocument/2006/relationships/revisionLog" Target="revisionLog11912.xml"/><Relationship Id="rId178" Type="http://schemas.openxmlformats.org/officeDocument/2006/relationships/revisionLog" Target="revisionLog132.xml"/><Relationship Id="rId131" Type="http://schemas.openxmlformats.org/officeDocument/2006/relationships/revisionLog" Target="revisionLog194.xml"/><Relationship Id="rId136" Type="http://schemas.openxmlformats.org/officeDocument/2006/relationships/revisionLog" Target="revisionLog12811.xml"/><Relationship Id="rId152" Type="http://schemas.openxmlformats.org/officeDocument/2006/relationships/revisionLog" Target="revisionLog1301.xml"/><Relationship Id="rId173" Type="http://schemas.openxmlformats.org/officeDocument/2006/relationships/revisionLog" Target="revisionLog1322.xml"/><Relationship Id="rId160" Type="http://schemas.openxmlformats.org/officeDocument/2006/relationships/revisionLog" Target="revisionLog114.xml"/><Relationship Id="rId165" Type="http://schemas.openxmlformats.org/officeDocument/2006/relationships/revisionLog" Target="revisionLog117.xml"/><Relationship Id="rId127" Type="http://schemas.openxmlformats.org/officeDocument/2006/relationships/revisionLog" Target="revisionLog11312.xml"/><Relationship Id="rId181" Type="http://schemas.openxmlformats.org/officeDocument/2006/relationships/revisionLog" Target="revisionLog3.xml"/><Relationship Id="rId169" Type="http://schemas.openxmlformats.org/officeDocument/2006/relationships/revisionLog" Target="revisionLog128.xml"/><Relationship Id="rId177" Type="http://schemas.openxmlformats.org/officeDocument/2006/relationships/revisionLog" Target="revisionLog124.xml"/><Relationship Id="rId164" Type="http://schemas.openxmlformats.org/officeDocument/2006/relationships/revisionLog" Target="revisionLog1202.xml"/><Relationship Id="rId156" Type="http://schemas.openxmlformats.org/officeDocument/2006/relationships/revisionLog" Target="revisionLog1183.xml"/><Relationship Id="rId151" Type="http://schemas.openxmlformats.org/officeDocument/2006/relationships/revisionLog" Target="revisionLog127.xml"/><Relationship Id="rId148" Type="http://schemas.openxmlformats.org/officeDocument/2006/relationships/revisionLog" Target="revisionLog126.xml"/><Relationship Id="rId143" Type="http://schemas.openxmlformats.org/officeDocument/2006/relationships/revisionLog" Target="revisionLog125.xml"/><Relationship Id="rId135" Type="http://schemas.openxmlformats.org/officeDocument/2006/relationships/revisionLog" Target="revisionLog1321.xml"/><Relationship Id="rId130" Type="http://schemas.openxmlformats.org/officeDocument/2006/relationships/revisionLog" Target="revisionLog114211.xml"/><Relationship Id="rId122" Type="http://schemas.openxmlformats.org/officeDocument/2006/relationships/revisionLog" Target="revisionLog113121.xml"/><Relationship Id="rId126" Type="http://schemas.openxmlformats.org/officeDocument/2006/relationships/revisionLog" Target="revisionLog1513.xml"/><Relationship Id="rId147" Type="http://schemas.openxmlformats.org/officeDocument/2006/relationships/revisionLog" Target="revisionLog11431.xml"/><Relationship Id="rId139" Type="http://schemas.openxmlformats.org/officeDocument/2006/relationships/revisionLog" Target="revisionLog1911.xml"/><Relationship Id="rId134" Type="http://schemas.openxmlformats.org/officeDocument/2006/relationships/revisionLog" Target="revisionLog113111.xml"/><Relationship Id="rId180" Type="http://schemas.openxmlformats.org/officeDocument/2006/relationships/revisionLog" Target="revisionLog2.xml"/><Relationship Id="rId172" Type="http://schemas.openxmlformats.org/officeDocument/2006/relationships/revisionLog" Target="revisionLog129.xml"/><Relationship Id="rId168" Type="http://schemas.openxmlformats.org/officeDocument/2006/relationships/revisionLog" Target="revisionLog133.xml"/><Relationship Id="rId121" Type="http://schemas.openxmlformats.org/officeDocument/2006/relationships/revisionLog" Target="revisionLog1511.xml"/><Relationship Id="rId142" Type="http://schemas.openxmlformats.org/officeDocument/2006/relationships/revisionLog" Target="revisionLog11422.xml"/><Relationship Id="rId150" Type="http://schemas.openxmlformats.org/officeDocument/2006/relationships/revisionLog" Target="revisionLog1172.xml"/><Relationship Id="rId155" Type="http://schemas.openxmlformats.org/officeDocument/2006/relationships/revisionLog" Target="revisionLog1142.xml"/><Relationship Id="rId171" Type="http://schemas.openxmlformats.org/officeDocument/2006/relationships/revisionLog" Target="revisionLog118.xml"/><Relationship Id="rId176" Type="http://schemas.openxmlformats.org/officeDocument/2006/relationships/revisionLog" Target="revisionLog119.xml"/><Relationship Id="rId163" Type="http://schemas.openxmlformats.org/officeDocument/2006/relationships/revisionLog" Target="revisionLog1331.xml"/><Relationship Id="rId124" Type="http://schemas.openxmlformats.org/officeDocument/2006/relationships/revisionLog" Target="revisionLog19111.xml"/><Relationship Id="rId129" Type="http://schemas.openxmlformats.org/officeDocument/2006/relationships/revisionLog" Target="revisionLog1131111.xml"/><Relationship Id="rId137" Type="http://schemas.openxmlformats.org/officeDocument/2006/relationships/revisionLog" Target="revisionLog13221.xml"/><Relationship Id="rId158" Type="http://schemas.openxmlformats.org/officeDocument/2006/relationships/revisionLog" Target="revisionLog118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3092EB0-4A5F-471E-B058-B7BA881CB87C}" diskRevisions="1" revisionId="14233" version="4" protected="1">
  <header guid="{C2D39267-4716-4753-BD25-3F96D75A8B0B}" dateTime="2014-06-23T10:23:29" maxSheetId="7" userName="Мамедова Фарида" r:id="rId120" minRId="12679" maxRId="12682">
    <sheetIdMap count="6">
      <sheetId val="5"/>
      <sheetId val="2"/>
      <sheetId val="1"/>
      <sheetId val="3"/>
      <sheetId val="4"/>
      <sheetId val="6"/>
    </sheetIdMap>
  </header>
  <header guid="{58612606-6354-4F2F-80D5-8F4C0CEA3240}" dateTime="2014-06-23T10:24:39" maxSheetId="7" userName="Мамедова Фарида" r:id="rId121" minRId="12689" maxRId="12691">
    <sheetIdMap count="6">
      <sheetId val="5"/>
      <sheetId val="2"/>
      <sheetId val="1"/>
      <sheetId val="3"/>
      <sheetId val="4"/>
      <sheetId val="6"/>
    </sheetIdMap>
  </header>
  <header guid="{AA67A3E8-41F5-45DC-AFF3-04D551107D40}" dateTime="2014-06-23T10:26:34" maxSheetId="7" userName="Мамедова Фарида" r:id="rId122" minRId="12698" maxRId="12703">
    <sheetIdMap count="6">
      <sheetId val="5"/>
      <sheetId val="2"/>
      <sheetId val="1"/>
      <sheetId val="3"/>
      <sheetId val="4"/>
      <sheetId val="6"/>
    </sheetIdMap>
  </header>
  <header guid="{385DDA1C-3E10-4D1E-AB7C-68D07C63802C}" dateTime="2014-06-23T10:27:43" maxSheetId="7" userName="Мамедова Фарида" r:id="rId123" minRId="12710" maxRId="12713">
    <sheetIdMap count="6">
      <sheetId val="5"/>
      <sheetId val="2"/>
      <sheetId val="1"/>
      <sheetId val="3"/>
      <sheetId val="4"/>
      <sheetId val="6"/>
    </sheetIdMap>
  </header>
  <header guid="{58ECB12E-D6E3-4F87-886F-58687D9FB1A2}" dateTime="2014-06-23T10:30:27" maxSheetId="7" userName="Мамедова Фарида" r:id="rId124" minRId="12720" maxRId="12731">
    <sheetIdMap count="6">
      <sheetId val="5"/>
      <sheetId val="2"/>
      <sheetId val="1"/>
      <sheetId val="3"/>
      <sheetId val="4"/>
      <sheetId val="6"/>
    </sheetIdMap>
  </header>
  <header guid="{D9680CD3-144C-4A10-AACE-B9EF9FBF721D}" dateTime="2014-06-23T10:33:37" maxSheetId="7" userName="Мамедова Фарида" r:id="rId125" minRId="12732" maxRId="12739">
    <sheetIdMap count="6">
      <sheetId val="5"/>
      <sheetId val="2"/>
      <sheetId val="1"/>
      <sheetId val="3"/>
      <sheetId val="4"/>
      <sheetId val="6"/>
    </sheetIdMap>
  </header>
  <header guid="{1E85B44E-CCAF-49C3-80D9-794207C5BCBF}" dateTime="2014-06-23T10:34:03" maxSheetId="7" userName="Мамедова Фарида" r:id="rId126">
    <sheetIdMap count="6">
      <sheetId val="5"/>
      <sheetId val="2"/>
      <sheetId val="1"/>
      <sheetId val="3"/>
      <sheetId val="4"/>
      <sheetId val="6"/>
    </sheetIdMap>
  </header>
  <header guid="{9A317501-F64F-47E7-B351-0D65AB0CBA4C}" dateTime="2014-06-23T10:34:04" maxSheetId="7" userName="Мамедова Фарида" r:id="rId127">
    <sheetIdMap count="6">
      <sheetId val="5"/>
      <sheetId val="2"/>
      <sheetId val="1"/>
      <sheetId val="3"/>
      <sheetId val="4"/>
      <sheetId val="6"/>
    </sheetIdMap>
  </header>
  <header guid="{DEB9FE0F-E67F-4334-9383-C1548778D36B}" dateTime="2014-06-23T10:47:54" maxSheetId="7" userName="Мамедова Фарида" r:id="rId128" minRId="12758" maxRId="12761">
    <sheetIdMap count="6">
      <sheetId val="5"/>
      <sheetId val="2"/>
      <sheetId val="1"/>
      <sheetId val="3"/>
      <sheetId val="4"/>
      <sheetId val="6"/>
    </sheetIdMap>
  </header>
  <header guid="{3CA7C86C-1303-4611-88E0-964638F10843}" dateTime="2014-06-23T10:55:31" maxSheetId="7" userName="Мамедова Фарида" r:id="rId129" minRId="12768" maxRId="12787">
    <sheetIdMap count="6">
      <sheetId val="5"/>
      <sheetId val="2"/>
      <sheetId val="1"/>
      <sheetId val="3"/>
      <sheetId val="4"/>
      <sheetId val="6"/>
    </sheetIdMap>
  </header>
  <header guid="{5947E94B-3F9F-4A93-AB85-BA4B09512501}" dateTime="2014-06-23T11:01:19" maxSheetId="7" userName="Мамедова Фарида" r:id="rId130" minRId="12794" maxRId="12809">
    <sheetIdMap count="6">
      <sheetId val="5"/>
      <sheetId val="2"/>
      <sheetId val="1"/>
      <sheetId val="3"/>
      <sheetId val="4"/>
      <sheetId val="6"/>
    </sheetIdMap>
  </header>
  <header guid="{A6CB7A56-D533-43A4-868B-CCAD80D10592}" dateTime="2014-06-23T11:05:47" maxSheetId="7" userName="Мамедова Фарида" r:id="rId131" minRId="12816" maxRId="12851">
    <sheetIdMap count="6">
      <sheetId val="5"/>
      <sheetId val="2"/>
      <sheetId val="1"/>
      <sheetId val="3"/>
      <sheetId val="4"/>
      <sheetId val="6"/>
    </sheetIdMap>
  </header>
  <header guid="{80B2A087-2169-4247-BA18-9F4E0A65FF5D}" dateTime="2014-06-23T11:07:41" maxSheetId="7" userName="Мамедова Фарида" r:id="rId132" minRId="12858" maxRId="12873">
    <sheetIdMap count="6">
      <sheetId val="5"/>
      <sheetId val="2"/>
      <sheetId val="1"/>
      <sheetId val="3"/>
      <sheetId val="4"/>
      <sheetId val="6"/>
    </sheetIdMap>
  </header>
  <header guid="{19729D28-0078-430B-81CB-E38DA603D64C}" dateTime="2014-06-23T11:15:51" maxSheetId="7" userName="Мамедова Фарида" r:id="rId133" minRId="12880" maxRId="12903">
    <sheetIdMap count="6">
      <sheetId val="5"/>
      <sheetId val="2"/>
      <sheetId val="1"/>
      <sheetId val="3"/>
      <sheetId val="4"/>
      <sheetId val="6"/>
    </sheetIdMap>
  </header>
  <header guid="{5EC01C9E-36A5-4093-87B8-A2D1519AFB68}" dateTime="2014-06-23T11:15:51" maxSheetId="7" userName="Мамедова Фарида" r:id="rId134">
    <sheetIdMap count="6">
      <sheetId val="5"/>
      <sheetId val="2"/>
      <sheetId val="1"/>
      <sheetId val="3"/>
      <sheetId val="4"/>
      <sheetId val="6"/>
    </sheetIdMap>
  </header>
  <header guid="{039E2E13-A3CD-451B-98BD-1983D50A4577}" dateTime="2014-06-23T11:38:21" maxSheetId="7" userName="Мамедова Фарида" r:id="rId135" minRId="12916" maxRId="12967">
    <sheetIdMap count="6">
      <sheetId val="5"/>
      <sheetId val="2"/>
      <sheetId val="1"/>
      <sheetId val="3"/>
      <sheetId val="4"/>
      <sheetId val="6"/>
    </sheetIdMap>
  </header>
  <header guid="{113EB8CA-B226-451E-91C9-9EE20D302FC5}" dateTime="2014-06-23T11:38:26" maxSheetId="7" userName="Мамедова Фарида" r:id="rId136">
    <sheetIdMap count="6">
      <sheetId val="5"/>
      <sheetId val="2"/>
      <sheetId val="1"/>
      <sheetId val="3"/>
      <sheetId val="4"/>
      <sheetId val="6"/>
    </sheetIdMap>
  </header>
  <header guid="{B7E63EC1-7F31-47D1-869C-246A373FB7C8}" dateTime="2014-06-23T11:38:28" maxSheetId="7" userName="Мамедова Фарида" r:id="rId137">
    <sheetIdMap count="6">
      <sheetId val="5"/>
      <sheetId val="2"/>
      <sheetId val="1"/>
      <sheetId val="3"/>
      <sheetId val="4"/>
      <sheetId val="6"/>
    </sheetIdMap>
  </header>
  <header guid="{D292F366-E6B6-43CF-85D5-6B18FDC22650}" dateTime="2014-06-23T11:39:43" maxSheetId="7" userName="Мамедова Фарида" r:id="rId138" minRId="12986" maxRId="12993">
    <sheetIdMap count="6">
      <sheetId val="5"/>
      <sheetId val="2"/>
      <sheetId val="1"/>
      <sheetId val="3"/>
      <sheetId val="4"/>
      <sheetId val="6"/>
    </sheetIdMap>
  </header>
  <header guid="{3FBDCA1E-3595-4E86-9A00-6BD1F85CB326}" dateTime="2014-06-23T12:10:44" maxSheetId="7" userName="Мамедова Фарида" r:id="rId139" minRId="13000" maxRId="13107">
    <sheetIdMap count="6">
      <sheetId val="5"/>
      <sheetId val="2"/>
      <sheetId val="1"/>
      <sheetId val="3"/>
      <sheetId val="4"/>
      <sheetId val="6"/>
    </sheetIdMap>
  </header>
  <header guid="{E8FD7FFB-E5F2-433C-99C6-39505CE91749}" dateTime="2014-06-23T13:24:49" maxSheetId="7" userName="Мамедова Фарида" r:id="rId140" minRId="13114" maxRId="13193">
    <sheetIdMap count="6">
      <sheetId val="5"/>
      <sheetId val="2"/>
      <sheetId val="1"/>
      <sheetId val="3"/>
      <sheetId val="4"/>
      <sheetId val="6"/>
    </sheetIdMap>
  </header>
  <header guid="{4E785499-B168-40F7-86D1-4E6AFDB4478A}" dateTime="2014-06-23T13:53:16" maxSheetId="7" userName="Мамедова Фарида" r:id="rId141" minRId="13200" maxRId="13299">
    <sheetIdMap count="6">
      <sheetId val="5"/>
      <sheetId val="2"/>
      <sheetId val="1"/>
      <sheetId val="3"/>
      <sheetId val="4"/>
      <sheetId val="6"/>
    </sheetIdMap>
  </header>
  <header guid="{9B9E9310-C8C2-484B-AB3A-85AE5CAAABE5}" dateTime="2014-06-23T13:54:58" maxSheetId="7" userName="Мамедова Фарида" r:id="rId142" minRId="13306" maxRId="13313">
    <sheetIdMap count="6">
      <sheetId val="5"/>
      <sheetId val="2"/>
      <sheetId val="1"/>
      <sheetId val="3"/>
      <sheetId val="4"/>
      <sheetId val="6"/>
    </sheetIdMap>
  </header>
  <header guid="{7A13A8DF-494A-4281-81AF-5124618BAC16}" dateTime="2014-06-23T13:54:59" maxSheetId="7" userName="Мамедова Фарида" r:id="rId143">
    <sheetIdMap count="6">
      <sheetId val="5"/>
      <sheetId val="2"/>
      <sheetId val="1"/>
      <sheetId val="3"/>
      <sheetId val="4"/>
      <sheetId val="6"/>
    </sheetIdMap>
  </header>
  <header guid="{2556C55C-E1C3-40F5-9BAE-67B25A6CAE35}" dateTime="2014-06-23T13:58:56" maxSheetId="7" userName="Мамедова Фарида" r:id="rId144" minRId="13326" maxRId="13343">
    <sheetIdMap count="6">
      <sheetId val="5"/>
      <sheetId val="2"/>
      <sheetId val="1"/>
      <sheetId val="3"/>
      <sheetId val="4"/>
      <sheetId val="6"/>
    </sheetIdMap>
  </header>
  <header guid="{BC64E0D8-F163-4CAD-9D6E-B11FF52CE9FB}" dateTime="2014-06-23T14:01:57" maxSheetId="7" userName="Мамедова Фарида" r:id="rId145" minRId="13350" maxRId="13359">
    <sheetIdMap count="6">
      <sheetId val="5"/>
      <sheetId val="2"/>
      <sheetId val="1"/>
      <sheetId val="3"/>
      <sheetId val="4"/>
      <sheetId val="6"/>
    </sheetIdMap>
  </header>
  <header guid="{4C5A90BA-F8E8-421A-AE30-BC6F53924DD0}" dateTime="2014-06-23T14:05:34" maxSheetId="7" userName="Мамедова Фарида" r:id="rId146" minRId="13366" maxRId="13378">
    <sheetIdMap count="6">
      <sheetId val="5"/>
      <sheetId val="2"/>
      <sheetId val="1"/>
      <sheetId val="3"/>
      <sheetId val="4"/>
      <sheetId val="6"/>
    </sheetIdMap>
  </header>
  <header guid="{98833962-DED2-459A-A85C-F57C5A36B2CF}" dateTime="2014-07-02T11:29:40" maxSheetId="7" userName="Мамедова Фарида" r:id="rId147">
    <sheetIdMap count="6">
      <sheetId val="5"/>
      <sheetId val="2"/>
      <sheetId val="1"/>
      <sheetId val="3"/>
      <sheetId val="4"/>
      <sheetId val="6"/>
    </sheetIdMap>
  </header>
  <header guid="{7CC0B165-FA18-42E7-8068-FAF6ACB60EC3}" dateTime="2014-07-02T11:33:15" maxSheetId="9" userName="Мамедова Фарида" r:id="rId148" minRId="13391" maxRId="13392">
    <sheetIdMap count="8">
      <sheetId val="5"/>
      <sheetId val="2"/>
      <sheetId val="1"/>
      <sheetId val="3"/>
      <sheetId val="4"/>
      <sheetId val="6"/>
      <sheetId val="7"/>
      <sheetId val="8"/>
    </sheetIdMap>
  </header>
  <header guid="{444DD2C2-6AA0-4D71-AAFB-D2BED7394B8B}" dateTime="2014-07-02T11:39:43" maxSheetId="9" userName="Мамедова Фарида" r:id="rId149" minRId="13399" maxRId="13410">
    <sheetIdMap count="8">
      <sheetId val="5"/>
      <sheetId val="2"/>
      <sheetId val="1"/>
      <sheetId val="3"/>
      <sheetId val="4"/>
      <sheetId val="6"/>
      <sheetId val="7"/>
      <sheetId val="8"/>
    </sheetIdMap>
  </header>
  <header guid="{92973A23-6FEF-40D6-9F02-E0F524E9D433}" dateTime="2014-07-02T11:44:16" maxSheetId="9" userName="Мамедова Фарида" r:id="rId150" minRId="13411" maxRId="13432">
    <sheetIdMap count="8">
      <sheetId val="5"/>
      <sheetId val="2"/>
      <sheetId val="1"/>
      <sheetId val="3"/>
      <sheetId val="4"/>
      <sheetId val="6"/>
      <sheetId val="7"/>
      <sheetId val="8"/>
    </sheetIdMap>
  </header>
  <header guid="{8712DC96-69A0-4D72-BA37-2265F64D7876}" dateTime="2014-07-02T11:46:16" maxSheetId="9" userName="Мамедова Фарида" r:id="rId151" minRId="13439" maxRId="13446">
    <sheetIdMap count="8">
      <sheetId val="5"/>
      <sheetId val="2"/>
      <sheetId val="1"/>
      <sheetId val="3"/>
      <sheetId val="4"/>
      <sheetId val="6"/>
      <sheetId val="7"/>
      <sheetId val="8"/>
    </sheetIdMap>
  </header>
  <header guid="{EA2660BE-AB02-48F4-9611-353C3D4E4B7F}" dateTime="2014-07-02T11:46:16" maxSheetId="9" userName="Мамедова Фарида" r:id="rId152">
    <sheetIdMap count="8">
      <sheetId val="5"/>
      <sheetId val="2"/>
      <sheetId val="1"/>
      <sheetId val="3"/>
      <sheetId val="4"/>
      <sheetId val="6"/>
      <sheetId val="7"/>
      <sheetId val="8"/>
    </sheetIdMap>
  </header>
  <header guid="{2A6756EE-D0F0-4E62-BB5A-88AF17191016}" dateTime="2014-07-02T11:47:40" maxSheetId="9" userName="Мамедова Фарида" r:id="rId153" minRId="13459" maxRId="13464">
    <sheetIdMap count="8">
      <sheetId val="5"/>
      <sheetId val="2"/>
      <sheetId val="1"/>
      <sheetId val="3"/>
      <sheetId val="4"/>
      <sheetId val="6"/>
      <sheetId val="7"/>
      <sheetId val="8"/>
    </sheetIdMap>
  </header>
  <header guid="{24C85865-1931-4BB1-B5A7-7A969818ED08}" dateTime="2014-07-02T11:49:09" maxSheetId="9" userName="Мамедова Фарида" r:id="rId154" minRId="13471" maxRId="13530">
    <sheetIdMap count="8">
      <sheetId val="5"/>
      <sheetId val="2"/>
      <sheetId val="1"/>
      <sheetId val="3"/>
      <sheetId val="4"/>
      <sheetId val="6"/>
      <sheetId val="7"/>
      <sheetId val="8"/>
    </sheetIdMap>
  </header>
  <header guid="{D1FDD924-9E33-4708-AAE7-CA1E7A009CAD}" dateTime="2014-07-02T11:50:20" maxSheetId="9" userName="Мамедова Фарида" r:id="rId155" minRId="13537" maxRId="13538">
    <sheetIdMap count="8">
      <sheetId val="5"/>
      <sheetId val="2"/>
      <sheetId val="1"/>
      <sheetId val="3"/>
      <sheetId val="4"/>
      <sheetId val="6"/>
      <sheetId val="7"/>
      <sheetId val="8"/>
    </sheetIdMap>
  </header>
  <header guid="{7F208A27-CB93-494E-A159-59D9BC04FA23}" dateTime="2014-07-02T11:51:10" maxSheetId="9" userName="Мамедова Фарида" r:id="rId156">
    <sheetIdMap count="8">
      <sheetId val="5"/>
      <sheetId val="2"/>
      <sheetId val="1"/>
      <sheetId val="3"/>
      <sheetId val="4"/>
      <sheetId val="6"/>
      <sheetId val="7"/>
      <sheetId val="8"/>
    </sheetIdMap>
  </header>
  <header guid="{5A7908BF-A71E-456B-90DB-9BD7C82FC593}" dateTime="2014-07-02T11:51:11" maxSheetId="9" userName="Мамедова Фарида" r:id="rId157">
    <sheetIdMap count="8">
      <sheetId val="5"/>
      <sheetId val="2"/>
      <sheetId val="1"/>
      <sheetId val="3"/>
      <sheetId val="4"/>
      <sheetId val="6"/>
      <sheetId val="7"/>
      <sheetId val="8"/>
    </sheetIdMap>
  </header>
  <header guid="{BF1EFA66-DE07-40D4-B786-18B1B6213574}" dateTime="2014-07-02T11:58:47" maxSheetId="9" userName="Мамедова Фарида" r:id="rId158" minRId="13557" maxRId="13608">
    <sheetIdMap count="8">
      <sheetId val="5"/>
      <sheetId val="2"/>
      <sheetId val="1"/>
      <sheetId val="3"/>
      <sheetId val="4"/>
      <sheetId val="6"/>
      <sheetId val="7"/>
      <sheetId val="8"/>
    </sheetIdMap>
  </header>
  <header guid="{BAC24758-6F66-42DD-927B-E2B344B8D521}" dateTime="2014-07-02T14:32:56" maxSheetId="9" userName="Мамедова Фарида" r:id="rId159" minRId="13615" maxRId="13767">
    <sheetIdMap count="8">
      <sheetId val="5"/>
      <sheetId val="2"/>
      <sheetId val="1"/>
      <sheetId val="3"/>
      <sheetId val="4"/>
      <sheetId val="6"/>
      <sheetId val="7"/>
      <sheetId val="8"/>
    </sheetIdMap>
  </header>
  <header guid="{B025D540-81D2-4EFD-9769-6E71BE79500D}" dateTime="2014-07-02T14:32:57" maxSheetId="9" userName="Мамедова Фарида" r:id="rId160">
    <sheetIdMap count="8">
      <sheetId val="5"/>
      <sheetId val="2"/>
      <sheetId val="1"/>
      <sheetId val="3"/>
      <sheetId val="4"/>
      <sheetId val="6"/>
      <sheetId val="7"/>
      <sheetId val="8"/>
    </sheetIdMap>
  </header>
  <header guid="{8AD81051-DB02-467C-9481-16F519720993}" dateTime="2014-07-02T14:36:43" maxSheetId="9" userName="Мамедова Фарида" r:id="rId161" minRId="13780" maxRId="13799">
    <sheetIdMap count="8">
      <sheetId val="5"/>
      <sheetId val="2"/>
      <sheetId val="1"/>
      <sheetId val="3"/>
      <sheetId val="4"/>
      <sheetId val="6"/>
      <sheetId val="7"/>
      <sheetId val="8"/>
    </sheetIdMap>
  </header>
  <header guid="{CFFBBA8C-9CD3-4197-843E-DB5F1EFCD473}" dateTime="2014-07-02T14:37:32" maxSheetId="9" userName="Мамедова Фарида" r:id="rId162" minRId="13806" maxRId="13809">
    <sheetIdMap count="8">
      <sheetId val="5"/>
      <sheetId val="2"/>
      <sheetId val="1"/>
      <sheetId val="3"/>
      <sheetId val="4"/>
      <sheetId val="6"/>
      <sheetId val="7"/>
      <sheetId val="8"/>
    </sheetIdMap>
  </header>
  <header guid="{DAF74A7E-1E00-4952-BA32-5B82D9DAEF69}" dateTime="2014-07-02T14:46:24" maxSheetId="9" userName="Мамедова Фарида" r:id="rId163" minRId="13816" maxRId="13843">
    <sheetIdMap count="8">
      <sheetId val="5"/>
      <sheetId val="2"/>
      <sheetId val="1"/>
      <sheetId val="3"/>
      <sheetId val="4"/>
      <sheetId val="6"/>
      <sheetId val="7"/>
      <sheetId val="8"/>
    </sheetIdMap>
  </header>
  <header guid="{EC6B195E-5578-4090-9E74-38B274D60EA9}" dateTime="2014-07-02T14:47:04" maxSheetId="9" userName="Мамедова Фарида" r:id="rId164" minRId="13850" maxRId="13853">
    <sheetIdMap count="8">
      <sheetId val="5"/>
      <sheetId val="2"/>
      <sheetId val="1"/>
      <sheetId val="3"/>
      <sheetId val="4"/>
      <sheetId val="6"/>
      <sheetId val="7"/>
      <sheetId val="8"/>
    </sheetIdMap>
  </header>
  <header guid="{D6C77F5D-68B0-4A0C-A655-2F8405264A3F}" dateTime="2014-07-02T14:48:40" maxSheetId="9" userName="Мамедова Фарида" r:id="rId165" minRId="13860" maxRId="13875">
    <sheetIdMap count="8">
      <sheetId val="5"/>
      <sheetId val="2"/>
      <sheetId val="1"/>
      <sheetId val="3"/>
      <sheetId val="4"/>
      <sheetId val="6"/>
      <sheetId val="7"/>
      <sheetId val="8"/>
    </sheetIdMap>
  </header>
  <header guid="{A0C39FFB-3B80-446C-8BDC-89ED2D1E812F}" dateTime="2014-07-02T14:53:43" maxSheetId="9" userName="Мамедова Фарида" r:id="rId166" minRId="13882" maxRId="13909">
    <sheetIdMap count="8">
      <sheetId val="5"/>
      <sheetId val="2"/>
      <sheetId val="1"/>
      <sheetId val="3"/>
      <sheetId val="4"/>
      <sheetId val="6"/>
      <sheetId val="7"/>
      <sheetId val="8"/>
    </sheetIdMap>
  </header>
  <header guid="{216B092B-24BC-486D-ACDB-95F043E616A5}" dateTime="2014-07-02T14:54:47" maxSheetId="9" userName="Мамедова Фарида" r:id="rId167" minRId="13916" maxRId="13927">
    <sheetIdMap count="8">
      <sheetId val="5"/>
      <sheetId val="2"/>
      <sheetId val="1"/>
      <sheetId val="3"/>
      <sheetId val="4"/>
      <sheetId val="6"/>
      <sheetId val="7"/>
      <sheetId val="8"/>
    </sheetIdMap>
  </header>
  <header guid="{836533C6-347D-4511-A99F-A95B1F0A53C4}" dateTime="2014-07-02T14:55:57" maxSheetId="9" userName="Мамедова Фарида" r:id="rId168" minRId="13934" maxRId="13937">
    <sheetIdMap count="8">
      <sheetId val="5"/>
      <sheetId val="2"/>
      <sheetId val="1"/>
      <sheetId val="3"/>
      <sheetId val="4"/>
      <sheetId val="6"/>
      <sheetId val="7"/>
      <sheetId val="8"/>
    </sheetIdMap>
  </header>
  <header guid="{BBB431B2-D29C-40EC-B107-AA5EE4432AEB}" dateTime="2014-07-02T15:00:36" maxSheetId="9" userName="Мамедова Фарида" r:id="rId169" minRId="13944" maxRId="13959">
    <sheetIdMap count="8">
      <sheetId val="5"/>
      <sheetId val="2"/>
      <sheetId val="1"/>
      <sheetId val="3"/>
      <sheetId val="4"/>
      <sheetId val="6"/>
      <sheetId val="7"/>
      <sheetId val="8"/>
    </sheetIdMap>
  </header>
  <header guid="{3E1B0901-28C5-4C1E-A794-59EA8A394BC0}" dateTime="2014-07-02T15:05:30" maxSheetId="9" userName="Мамедова Фарида" r:id="rId170" minRId="13966" maxRId="13995">
    <sheetIdMap count="8">
      <sheetId val="5"/>
      <sheetId val="2"/>
      <sheetId val="1"/>
      <sheetId val="3"/>
      <sheetId val="4"/>
      <sheetId val="6"/>
      <sheetId val="7"/>
      <sheetId val="8"/>
    </sheetIdMap>
  </header>
  <header guid="{9C924455-0FF7-4B32-BE91-8D84E9C86457}" dateTime="2014-07-02T15:10:00" maxSheetId="9" userName="Мамедова Фарида" r:id="rId171" minRId="14002" maxRId="14046">
    <sheetIdMap count="8">
      <sheetId val="5"/>
      <sheetId val="2"/>
      <sheetId val="1"/>
      <sheetId val="3"/>
      <sheetId val="4"/>
      <sheetId val="6"/>
      <sheetId val="7"/>
      <sheetId val="8"/>
    </sheetIdMap>
  </header>
  <header guid="{15E6070B-BB6F-42AF-BF48-A5B6158F4829}" dateTime="2014-07-02T15:18:29" maxSheetId="9" userName="Мамедова Фарида" r:id="rId172" minRId="14053">
    <sheetIdMap count="8">
      <sheetId val="5"/>
      <sheetId val="2"/>
      <sheetId val="1"/>
      <sheetId val="3"/>
      <sheetId val="4"/>
      <sheetId val="6"/>
      <sheetId val="7"/>
      <sheetId val="8"/>
    </sheetIdMap>
  </header>
  <header guid="{7E6C86F6-5E7F-4B07-8A8E-3AE09E4DA2FF}" dateTime="2014-07-16T11:22:33" maxSheetId="9" userName="Мамедова Фарида" r:id="rId173" minRId="14060" maxRId="14062">
    <sheetIdMap count="8">
      <sheetId val="5"/>
      <sheetId val="2"/>
      <sheetId val="1"/>
      <sheetId val="3"/>
      <sheetId val="4"/>
      <sheetId val="6"/>
      <sheetId val="7"/>
      <sheetId val="8"/>
    </sheetIdMap>
  </header>
  <header guid="{EA9B7535-AEB2-4E67-876B-F3BB997E7D84}" dateTime="2014-07-16T12:47:39" maxSheetId="9" userName="Мамедова Фарида" r:id="rId174" minRId="14069" maxRId="14070">
    <sheetIdMap count="8">
      <sheetId val="5"/>
      <sheetId val="2"/>
      <sheetId val="1"/>
      <sheetId val="3"/>
      <sheetId val="4"/>
      <sheetId val="6"/>
      <sheetId val="7"/>
      <sheetId val="8"/>
    </sheetIdMap>
  </header>
  <header guid="{597DB6B0-1A5C-4FC4-BE5C-CDFE49C439D0}" dateTime="2014-07-16T14:19:15" maxSheetId="9" userName="Мамедова Фарида" r:id="rId175" minRId="14077" maxRId="140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E6869D7-8039-4631-A748-2DBC6D77B184}" dateTime="2014-07-16T14:20:38" maxSheetId="9" userName="Мамедова Фарида" r:id="rId176">
    <sheetIdMap count="8">
      <sheetId val="5"/>
      <sheetId val="2"/>
      <sheetId val="1"/>
      <sheetId val="3"/>
      <sheetId val="4"/>
      <sheetId val="6"/>
      <sheetId val="7"/>
      <sheetId val="8"/>
    </sheetIdMap>
  </header>
  <header guid="{4CD4EC32-C205-4850-8EFB-406B70CC906D}" dateTime="2014-07-16T14:21:04" maxSheetId="9" userName="Мамедова Фарида" r:id="rId177" minRId="14094" maxRId="14121">
    <sheetIdMap count="8">
      <sheetId val="5"/>
      <sheetId val="2"/>
      <sheetId val="1"/>
      <sheetId val="3"/>
      <sheetId val="4"/>
      <sheetId val="6"/>
      <sheetId val="7"/>
      <sheetId val="8"/>
    </sheetIdMap>
  </header>
  <header guid="{BD0315DF-74BC-4A52-BE28-3E97489C28A3}" dateTime="2014-07-16T14:21:27" maxSheetId="9" userName="Мамедова Фарида" r:id="rId178">
    <sheetIdMap count="8">
      <sheetId val="5"/>
      <sheetId val="2"/>
      <sheetId val="1"/>
      <sheetId val="3"/>
      <sheetId val="4"/>
      <sheetId val="6"/>
      <sheetId val="7"/>
      <sheetId val="8"/>
    </sheetIdMap>
  </header>
  <header guid="{32F583EF-BA43-4415-86A6-E1A913486C01}" dateTime="2014-07-16T14:21:54" maxSheetId="9" userName="Мамедова Фарида" r:id="rId179" minRId="14134" maxRId="14177">
    <sheetIdMap count="8">
      <sheetId val="5"/>
      <sheetId val="2"/>
      <sheetId val="1"/>
      <sheetId val="3"/>
      <sheetId val="4"/>
      <sheetId val="6"/>
      <sheetId val="7"/>
      <sheetId val="8"/>
    </sheetIdMap>
  </header>
  <header guid="{0230372B-71B0-4A34-9BAB-76F03DBD0C3C}" dateTime="2014-07-21T10:23:40" maxSheetId="9" userName="Данченко Игорь Васильевич" r:id="rId180">
    <sheetIdMap count="8">
      <sheetId val="5"/>
      <sheetId val="2"/>
      <sheetId val="1"/>
      <sheetId val="3"/>
      <sheetId val="4"/>
      <sheetId val="6"/>
      <sheetId val="7"/>
      <sheetId val="8"/>
    </sheetIdMap>
  </header>
  <header guid="{AFA9839D-900F-448A-90A6-83F440056DF9}" dateTime="2014-07-21T15:25:26" maxSheetId="9" userName="Данченко Игорь Васильевич" r:id="rId181" minRId="14190" maxRId="14216">
    <sheetIdMap count="8">
      <sheetId val="5"/>
      <sheetId val="2"/>
      <sheetId val="1"/>
      <sheetId val="3"/>
      <sheetId val="4"/>
      <sheetId val="6"/>
      <sheetId val="7"/>
      <sheetId val="8"/>
    </sheetIdMap>
  </header>
  <header guid="{C3092EB0-4A5F-471E-B058-B7BA881CB87C}" dateTime="2014-07-21T15:25:51" maxSheetId="9" userName="Данченко Игорь Васильевич" r:id="rId182" minRId="14223" maxRId="14227">
    <sheetIdMap count="8">
      <sheetId val="5"/>
      <sheetId val="2"/>
      <sheetId val="1"/>
      <sheetId val="3"/>
      <sheetId val="4"/>
      <sheetId val="6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4134" sId="3" numFmtId="4">
    <nc r="D234">
      <v>0</v>
    </nc>
  </rcc>
  <rcc rId="14135" sId="3" numFmtId="4">
    <nc r="D235">
      <v>0</v>
    </nc>
  </rcc>
  <rcc rId="14136" sId="3" numFmtId="4">
    <nc r="D236">
      <v>0</v>
    </nc>
  </rcc>
  <rcc rId="14137" sId="3" numFmtId="4">
    <nc r="D237">
      <v>0</v>
    </nc>
  </rcc>
  <rcc rId="14138" sId="3" numFmtId="4">
    <nc r="D238">
      <v>0</v>
    </nc>
  </rcc>
  <rcc rId="14139" sId="3" numFmtId="4">
    <nc r="D239">
      <v>0</v>
    </nc>
  </rcc>
  <rcc rId="14140" sId="3" numFmtId="4">
    <nc r="D240">
      <v>0</v>
    </nc>
  </rcc>
  <rcc rId="14141" sId="3" numFmtId="4">
    <nc r="D241">
      <v>0</v>
    </nc>
  </rcc>
  <rcc rId="14142" sId="3" numFmtId="4">
    <nc r="D242">
      <v>0</v>
    </nc>
  </rcc>
  <rcc rId="14143" sId="3" numFmtId="4">
    <nc r="D243">
      <v>0</v>
    </nc>
  </rcc>
  <rcc rId="14144" sId="3" numFmtId="4">
    <nc r="D244">
      <v>0</v>
    </nc>
  </rcc>
  <rcc rId="14145" sId="3" numFmtId="4">
    <nc r="E234">
      <v>0</v>
    </nc>
  </rcc>
  <rcc rId="14146" sId="3" numFmtId="4">
    <nc r="F234">
      <v>0</v>
    </nc>
  </rcc>
  <rcc rId="14147" sId="3" numFmtId="4">
    <nc r="G234">
      <v>0</v>
    </nc>
  </rcc>
  <rcc rId="14148" sId="3" numFmtId="4">
    <nc r="E235">
      <v>0</v>
    </nc>
  </rcc>
  <rcc rId="14149" sId="3" numFmtId="4">
    <nc r="F235">
      <v>0</v>
    </nc>
  </rcc>
  <rcc rId="14150" sId="3" numFmtId="4">
    <nc r="G235">
      <v>0</v>
    </nc>
  </rcc>
  <rcc rId="14151" sId="3" numFmtId="4">
    <nc r="E236">
      <v>0</v>
    </nc>
  </rcc>
  <rcc rId="14152" sId="3" numFmtId="4">
    <nc r="F236">
      <v>0</v>
    </nc>
  </rcc>
  <rcc rId="14153" sId="3" numFmtId="4">
    <nc r="G236">
      <v>0</v>
    </nc>
  </rcc>
  <rcc rId="14154" sId="3" numFmtId="4">
    <nc r="E237">
      <v>0</v>
    </nc>
  </rcc>
  <rcc rId="14155" sId="3" numFmtId="4">
    <nc r="F237">
      <v>0</v>
    </nc>
  </rcc>
  <rcc rId="14156" sId="3" numFmtId="4">
    <nc r="G237">
      <v>0</v>
    </nc>
  </rcc>
  <rcc rId="14157" sId="3" numFmtId="4">
    <nc r="E238">
      <v>0</v>
    </nc>
  </rcc>
  <rcc rId="14158" sId="3" numFmtId="4">
    <nc r="F238">
      <v>0</v>
    </nc>
  </rcc>
  <rcc rId="14159" sId="3" numFmtId="4">
    <nc r="G238">
      <v>0</v>
    </nc>
  </rcc>
  <rcc rId="14160" sId="3" numFmtId="4">
    <nc r="E239">
      <v>0</v>
    </nc>
  </rcc>
  <rcc rId="14161" sId="3" numFmtId="4">
    <nc r="F239">
      <v>0</v>
    </nc>
  </rcc>
  <rcc rId="14162" sId="3" numFmtId="4">
    <nc r="G239">
      <v>0</v>
    </nc>
  </rcc>
  <rcc rId="14163" sId="3" numFmtId="4">
    <nc r="E240">
      <v>0</v>
    </nc>
  </rcc>
  <rcc rId="14164" sId="3" numFmtId="4">
    <nc r="F240">
      <v>0</v>
    </nc>
  </rcc>
  <rcc rId="14165" sId="3" numFmtId="4">
    <nc r="G240">
      <v>0</v>
    </nc>
  </rcc>
  <rcc rId="14166" sId="3" numFmtId="4">
    <nc r="E241">
      <v>0</v>
    </nc>
  </rcc>
  <rcc rId="14167" sId="3" numFmtId="4">
    <nc r="F241">
      <v>0</v>
    </nc>
  </rcc>
  <rcc rId="14168" sId="3" numFmtId="4">
    <nc r="G241">
      <v>0</v>
    </nc>
  </rcc>
  <rcc rId="14169" sId="3" numFmtId="4">
    <nc r="E242">
      <v>0</v>
    </nc>
  </rcc>
  <rcc rId="14170" sId="3" numFmtId="4">
    <nc r="F242">
      <v>0</v>
    </nc>
  </rcc>
  <rcc rId="14171" sId="3" numFmtId="4">
    <nc r="G242">
      <v>0</v>
    </nc>
  </rcc>
  <rcc rId="14172" sId="3" numFmtId="4">
    <nc r="E243">
      <v>0</v>
    </nc>
  </rcc>
  <rcc rId="14173" sId="3" numFmtId="4">
    <nc r="F243">
      <v>0</v>
    </nc>
  </rcc>
  <rcc rId="14174" sId="3" numFmtId="4">
    <nc r="G243">
      <v>0</v>
    </nc>
  </rcc>
  <rcc rId="14175" sId="3" numFmtId="4">
    <nc r="E244">
      <v>0</v>
    </nc>
  </rcc>
  <rcc rId="14176" sId="3" numFmtId="4">
    <nc r="F244">
      <v>0</v>
    </nc>
  </rcc>
  <rcc rId="14177" sId="3" numFmtId="4">
    <nc r="G244">
      <v>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2" customView="1" name="Z_BC21180C_85F6_44E9_8911_8FF77947F378_.wvu.FilterData" hidden="1" oldHidden="1">
    <formula>'Ноябрь 2013г'!$C$21:$C$131</formula>
  </rdn>
  <rdn rId="0" localSheetId="1" customView="1" name="Z_BC21180C_85F6_44E9_8911_8FF77947F378_.wvu.FilterData" hidden="1" oldHidden="1">
    <formula>'июнь 2014г'!$C$21:$C$247</formula>
  </rdn>
  <rdn rId="0" localSheetId="3" customView="1" name="Z_BC21180C_85F6_44E9_8911_8FF77947F378_.wvu.Rows" hidden="1" oldHidden="1">
    <formula>'июнь 2014г. по 6-10'!$2:$12</formula>
  </rdn>
  <rdn rId="0" localSheetId="3" customView="1" name="Z_BC21180C_85F6_44E9_8911_8FF77947F378_.wvu.FilterData" hidden="1" oldHidden="1">
    <formula>'июнь 2014г. по 6-10'!$C$21:$C$130</formula>
  </rdn>
  <rdn rId="0" localSheetId="4" customView="1" name="Z_BC21180C_85F6_44E9_8911_8FF77947F378_.wvu.Rows" hidden="1" oldHidden="1">
    <formula>'июнь 2014г. по 0,4'!$2:$12</formula>
  </rdn>
  <rdn rId="0" localSheetId="4" customView="1" name="Z_BC21180C_85F6_44E9_8911_8FF77947F378_.wvu.FilterData" hidden="1" oldHidden="1">
    <formula>'июнь 2014г. по 0,4'!$C$18:$C$127</formula>
  </rdn>
  <rcv guid="{BC21180C-85F6-44E9-8911-8FF77947F37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190" sId="3">
    <oc r="I251" t="inlineStr">
      <is>
        <t>Расторгнутые договора</t>
      </is>
    </oc>
    <nc r="I251"/>
  </rcc>
  <rfmt sheetId="3" sqref="H251:H264" start="0" length="0">
    <dxf>
      <border>
        <left/>
      </border>
    </dxf>
  </rfmt>
  <rfmt sheetId="3" sqref="K251:K264" start="0" length="0">
    <dxf>
      <border>
        <right/>
      </border>
    </dxf>
  </rfmt>
  <rfmt sheetId="3" sqref="H264:K264" start="0" length="0">
    <dxf>
      <border>
        <bottom/>
      </border>
    </dxf>
  </rfmt>
  <rfmt sheetId="3" sqref="H251:K264">
    <dxf>
      <fill>
        <patternFill patternType="none">
          <bgColor auto="1"/>
        </patternFill>
      </fill>
    </dxf>
  </rfmt>
  <rfmt sheetId="3" sqref="K261:K266" start="0" length="0">
    <dxf>
      <border>
        <right/>
      </border>
    </dxf>
  </rfmt>
  <rcc rId="14191" sId="3">
    <oc r="B250" t="inlineStr">
      <is>
        <t>* отчет не учитывает заявки потребителей максимальной присоединенной мощностью более 670 кВт</t>
      </is>
    </oc>
    <nc r="B250"/>
  </rcc>
  <rfmt sheetId="3" sqref="C246">
    <dxf>
      <fill>
        <patternFill patternType="none">
          <bgColor auto="1"/>
        </patternFill>
      </fill>
    </dxf>
  </rfmt>
  <rfmt sheetId="3" sqref="D22:H246">
    <dxf>
      <fill>
        <patternFill patternType="none">
          <bgColor auto="1"/>
        </patternFill>
      </fill>
    </dxf>
  </rfmt>
  <rfmt sheetId="1" sqref="H250:K267">
    <dxf>
      <fill>
        <patternFill patternType="none">
          <bgColor auto="1"/>
        </patternFill>
      </fill>
    </dxf>
  </rfmt>
  <rcc rId="14192" sId="1">
    <oc r="I251" t="inlineStr">
      <is>
        <t>Расторгнутые договора</t>
      </is>
    </oc>
    <nc r="I251"/>
  </rcc>
  <rfmt sheetId="1" sqref="H250:H267" start="0" length="0">
    <dxf>
      <border>
        <left/>
      </border>
    </dxf>
  </rfmt>
  <rfmt sheetId="1" sqref="K250:K267" start="0" length="0">
    <dxf>
      <border>
        <right/>
      </border>
    </dxf>
  </rfmt>
  <rcc rId="14193" sId="1">
    <oc r="B255" t="inlineStr">
      <is>
        <t>дошел№ 916 не занес</t>
      </is>
    </oc>
    <nc r="B255"/>
  </rcc>
  <rcc rId="14194" sId="1">
    <oc r="B250" t="inlineStr">
      <is>
        <t>* отчет не учитывает заявки потребителей максимальной присоединенной мощностью более 670 кВт</t>
      </is>
    </oc>
    <nc r="B250"/>
  </rcc>
  <rcc rId="14195" sId="4">
    <oc r="B247" t="inlineStr">
      <is>
        <t>* отчет не учитывает заявки потребителей максимальной присоединенной мощностью более 670 кВт</t>
      </is>
    </oc>
    <nc r="B247"/>
  </rcc>
  <rcc rId="14196" sId="4">
    <oc r="I248" t="inlineStr">
      <is>
        <t>Расторгнутые договора</t>
      </is>
    </oc>
    <nc r="I248"/>
  </rcc>
  <rrc rId="14197" sId="4" ref="A246:XFD246" action="deleteRow">
    <rfmt sheetId="4" xfDxf="1" sqref="A246:XFD246" start="0" length="0"/>
    <rfmt sheetId="4" sqref="G246" start="0" length="0">
      <dxf>
        <numFmt numFmtId="4" formatCode="#,##0.00"/>
      </dxf>
    </rfmt>
  </rrc>
  <rrc rId="14198" sId="4" ref="A246:XFD246" action="deleteRow">
    <rfmt sheetId="4" xfDxf="1" sqref="A246:XFD246" start="0" length="0"/>
  </rrc>
  <rrc rId="14199" sId="4" ref="A246:XFD246" action="deleteRow">
    <rfmt sheetId="4" xfDxf="1" sqref="A246:XFD246" start="0" length="0"/>
  </rrc>
  <rrc rId="14200" sId="4" ref="A246:XFD246" action="deleteRow">
    <rfmt sheetId="4" xfDxf="1" sqref="A246:XFD246" start="0" length="0"/>
    <rfmt sheetId="4" sqref="F246" start="0" length="0">
      <dxf/>
    </rfmt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1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2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3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4" sId="4" ref="A246:XFD246" action="deleteRow">
    <rfmt sheetId="4" xfDxf="1" sqref="A246:XFD246" start="0" length="0"/>
    <rfmt sheetId="4" sqref="D246" start="0" length="0">
      <dxf>
        <numFmt numFmtId="3" formatCode="#,##0"/>
      </dxf>
    </rfmt>
    <rfmt sheetId="4" sqref="E246" start="0" length="0">
      <dxf>
        <numFmt numFmtId="3" formatCode="#,##0"/>
      </dxf>
    </rfmt>
    <rfmt sheetId="4" sqref="F246" start="0" length="0">
      <dxf>
        <numFmt numFmtId="3" formatCode="#,##0"/>
      </dxf>
    </rfmt>
    <rfmt sheetId="4" sqref="G246" start="0" length="0">
      <dxf>
        <numFmt numFmtId="3" formatCode="#,##0"/>
      </dxf>
    </rfmt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4205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6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7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8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09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10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11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6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12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13" sId="4" ref="A246:XFD246" action="deleteRow">
    <rfmt sheetId="4" xfDxf="1" sqref="A246:XFD246" start="0" length="0"/>
    <rfmt sheetId="4" s="1" sqref="H246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6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6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214" sId="4" ref="A246:XFD246" action="deleteRow">
    <rfmt sheetId="4" xfDxf="1" sqref="A246:XFD246" start="0" length="0"/>
  </rrc>
  <rrc rId="14215" sId="4" ref="A246:XFD246" action="deleteRow">
    <rfmt sheetId="4" xfDxf="1" sqref="A246:XFD246" start="0" length="0"/>
  </rrc>
  <rcc rId="14216" sId="1">
    <nc r="A250" t="inlineStr">
      <is>
        <t xml:space="preserve">  аннулированных заявок 0 шт. на 0 кВт.</t>
      </is>
    </nc>
  </rcc>
  <rcv guid="{BC21180C-85F6-44E9-8911-8FF77947F378}" action="delete"/>
  <rdn rId="0" localSheetId="2" customView="1" name="Z_BC21180C_85F6_44E9_8911_8FF77947F378_.wvu.FilterData" hidden="1" oldHidden="1">
    <formula>'Ноябрь 2013г'!$C$21:$C$131</formula>
    <oldFormula>'Ноябрь 2013г'!$C$21:$C$131</oldFormula>
  </rdn>
  <rdn rId="0" localSheetId="1" customView="1" name="Z_BC21180C_85F6_44E9_8911_8FF77947F378_.wvu.FilterData" hidden="1" oldHidden="1">
    <formula>'июнь 2014г'!$C$21:$C$247</formula>
    <oldFormula>'июнь 2014г'!$C$21:$C$247</oldFormula>
  </rdn>
  <rdn rId="0" localSheetId="3" customView="1" name="Z_BC21180C_85F6_44E9_8911_8FF77947F378_.wvu.Rows" hidden="1" oldHidden="1">
    <formula>'июнь 2014г. по 6-10'!$2:$12</formula>
    <oldFormula>'июнь 2014г. по 6-10'!$2:$12</oldFormula>
  </rdn>
  <rdn rId="0" localSheetId="3" customView="1" name="Z_BC21180C_85F6_44E9_8911_8FF77947F378_.wvu.FilterData" hidden="1" oldHidden="1">
    <formula>'июнь 2014г. по 6-10'!$C$21:$C$130</formula>
    <oldFormula>'июнь 2014г. по 6-10'!$C$21:$C$130</oldFormula>
  </rdn>
  <rdn rId="0" localSheetId="4" customView="1" name="Z_BC21180C_85F6_44E9_8911_8FF77947F378_.wvu.Rows" hidden="1" oldHidden="1">
    <formula>'июнь 2014г. по 0,4'!$2:$12</formula>
    <oldFormula>'июнь 2014г. по 0,4'!$2:$12</oldFormula>
  </rdn>
  <rdn rId="0" localSheetId="4" customView="1" name="Z_BC21180C_85F6_44E9_8911_8FF77947F378_.wvu.FilterData" hidden="1" oldHidden="1">
    <formula>'июнь 2014г. по 0,4'!$C$18:$C$127</formula>
    <oldFormula>'июнь 2014г. по 0,4'!$C$18:$C$127</oldFormula>
  </rdn>
  <rcv guid="{BC21180C-85F6-44E9-8911-8FF77947F378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246">
    <dxf>
      <fill>
        <patternFill patternType="none">
          <bgColor auto="1"/>
        </patternFill>
      </fill>
    </dxf>
  </rfmt>
  <rcc rId="14223" sId="1">
    <oc r="M1" t="inlineStr">
      <is>
        <t>Приложение № 28</t>
      </is>
    </oc>
    <nc r="M1"/>
  </rcc>
  <rcc rId="14224" sId="1">
    <oc r="M2" t="inlineStr">
      <is>
        <t xml:space="preserve">к  Положению о технологическом присоединении 
</t>
      </is>
    </oc>
    <nc r="M2"/>
  </rcc>
  <rcc rId="14225" sId="1">
    <oc r="M3" t="inlineStr">
      <is>
        <t xml:space="preserve">энергетических установок к электрическим сетям </t>
      </is>
    </oc>
    <nc r="M3"/>
  </rcc>
  <rcc rId="14226" sId="1">
    <oc r="M4" t="inlineStr">
      <is>
        <t xml:space="preserve">ОАО «МРСК Северного Кавказа», управляемых </t>
      </is>
    </oc>
    <nc r="M4"/>
  </rcc>
  <rcc rId="14227" sId="1">
    <oc r="M5" t="inlineStr">
      <is>
        <t xml:space="preserve">Обществ </t>
      </is>
    </oc>
    <nc r="M5"/>
  </rcc>
  <rcv guid="{BC21180C-85F6-44E9-8911-8FF77947F378}" action="delete"/>
  <rdn rId="0" localSheetId="2" customView="1" name="Z_BC21180C_85F6_44E9_8911_8FF77947F378_.wvu.FilterData" hidden="1" oldHidden="1">
    <formula>'Ноябрь 2013г'!$C$21:$C$131</formula>
    <oldFormula>'Ноябрь 2013г'!$C$21:$C$131</oldFormula>
  </rdn>
  <rdn rId="0" localSheetId="1" customView="1" name="Z_BC21180C_85F6_44E9_8911_8FF77947F378_.wvu.FilterData" hidden="1" oldHidden="1">
    <formula>'июнь 2014г'!$C$21:$C$247</formula>
    <oldFormula>'июнь 2014г'!$C$21:$C$247</oldFormula>
  </rdn>
  <rdn rId="0" localSheetId="3" customView="1" name="Z_BC21180C_85F6_44E9_8911_8FF77947F378_.wvu.Rows" hidden="1" oldHidden="1">
    <formula>'июнь 2014г. по 6-10'!$2:$12</formula>
    <oldFormula>'июнь 2014г. по 6-10'!$2:$12</oldFormula>
  </rdn>
  <rdn rId="0" localSheetId="3" customView="1" name="Z_BC21180C_85F6_44E9_8911_8FF77947F378_.wvu.FilterData" hidden="1" oldHidden="1">
    <formula>'июнь 2014г. по 6-10'!$C$21:$C$130</formula>
    <oldFormula>'июнь 2014г. по 6-10'!$C$21:$C$130</oldFormula>
  </rdn>
  <rdn rId="0" localSheetId="4" customView="1" name="Z_BC21180C_85F6_44E9_8911_8FF77947F378_.wvu.Rows" hidden="1" oldHidden="1">
    <formula>'июнь 2014г. по 0,4'!$2:$12</formula>
    <oldFormula>'июнь 2014г. по 0,4'!$2:$12</oldFormula>
  </rdn>
  <rdn rId="0" localSheetId="4" customView="1" name="Z_BC21180C_85F6_44E9_8911_8FF77947F378_.wvu.FilterData" hidden="1" oldHidden="1">
    <formula>'июнь 2014г. по 0,4'!$C$18:$C$127</formula>
    <oldFormula>'июнь 2014г. по 0,4'!$C$18:$C$127</oldFormula>
  </rdn>
  <rcv guid="{BC21180C-85F6-44E9-8911-8FF77947F378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12880" sId="3" numFmtId="4">
    <oc r="D63">
      <v>1</v>
    </oc>
    <nc r="D63">
      <v>2</v>
    </nc>
  </rcc>
  <rcc rId="12881" sId="3" numFmtId="4">
    <oc r="E63">
      <v>325</v>
    </oc>
    <nc r="E63">
      <f>325+170</f>
    </nc>
  </rcc>
  <rcc rId="12882" sId="3" numFmtId="4">
    <oc r="F63">
      <v>1</v>
    </oc>
    <nc r="F63">
      <v>2</v>
    </nc>
  </rcc>
  <rcc rId="12883" sId="3" numFmtId="4">
    <oc r="G63">
      <v>325</v>
    </oc>
    <nc r="G63">
      <v>495</v>
    </nc>
  </rcc>
  <rcc rId="12884" sId="3" numFmtId="4">
    <oc r="D48">
      <v>5</v>
    </oc>
    <nc r="D48">
      <v>6</v>
    </nc>
  </rcc>
  <rcc rId="12885" sId="3">
    <oc r="E48">
      <f>100+170+100+60+160</f>
    </oc>
    <nc r="E48">
      <f>100+170+100+60+160+63</f>
    </nc>
  </rcc>
  <rcc rId="12886" sId="3" numFmtId="4">
    <oc r="F48">
      <v>5</v>
    </oc>
    <nc r="F48">
      <v>6</v>
    </nc>
  </rcc>
  <rcc rId="12887" sId="3" numFmtId="4">
    <oc r="G48">
      <v>590</v>
    </oc>
    <nc r="G48">
      <v>653</v>
    </nc>
  </rcc>
  <rcc rId="12888" sId="3" numFmtId="4">
    <oc r="D109">
      <v>3</v>
    </oc>
    <nc r="D109">
      <v>4</v>
    </nc>
  </rcc>
  <rcc rId="12889" sId="3">
    <oc r="E109">
      <f>10+10+15</f>
    </oc>
    <nc r="E109">
      <f>10+10+15+55</f>
    </nc>
  </rcc>
  <rcc rId="12890" sId="3" numFmtId="4">
    <oc r="F109">
      <v>3</v>
    </oc>
    <nc r="F109">
      <v>4</v>
    </nc>
  </rcc>
  <rcc rId="12891" sId="3" numFmtId="4">
    <oc r="G109">
      <f>10+10+15</f>
    </oc>
    <nc r="G109">
      <v>90</v>
    </nc>
  </rcc>
  <rcc rId="12892" sId="3" numFmtId="4">
    <oc r="D115">
      <v>4</v>
    </oc>
    <nc r="D115">
      <v>5</v>
    </nc>
  </rcc>
  <rcc rId="12893" sId="3">
    <oc r="E115">
      <f>30+160+131+15</f>
    </oc>
    <nc r="E115">
      <f>30+160+131+15+160</f>
    </nc>
  </rcc>
  <rcc rId="12894" sId="3" numFmtId="4">
    <oc r="F115">
      <v>4</v>
    </oc>
    <nc r="F115">
      <v>5</v>
    </nc>
  </rcc>
  <rcc rId="12895" sId="3" numFmtId="4">
    <oc r="G115">
      <f>30+160+131+15</f>
    </oc>
    <nc r="G115">
      <v>496</v>
    </nc>
  </rcc>
  <rcc rId="12896" sId="3" numFmtId="4">
    <oc r="D112">
      <v>2</v>
    </oc>
    <nc r="D112">
      <v>3</v>
    </nc>
  </rcc>
  <rcc rId="12897" sId="3">
    <oc r="E112">
      <f>40+7</f>
    </oc>
    <nc r="E112">
      <f>40+7+50</f>
    </nc>
  </rcc>
  <rcc rId="12898" sId="3" numFmtId="4">
    <oc r="F112">
      <v>2</v>
    </oc>
    <nc r="F112">
      <v>3</v>
    </nc>
  </rcc>
  <rcc rId="12899" sId="3" numFmtId="4">
    <oc r="G112">
      <v>47</v>
    </oc>
    <nc r="G112">
      <v>97</v>
    </nc>
  </rcc>
  <rcc rId="12900" sId="4" numFmtId="4">
    <oc r="D224">
      <v>3</v>
    </oc>
    <nc r="D224">
      <v>4</v>
    </nc>
  </rcc>
  <rcc rId="12901" sId="4">
    <oc r="E224">
      <f>14+10+10</f>
    </oc>
    <nc r="E224">
      <f>14+10+10+10</f>
    </nc>
  </rcc>
  <rcc rId="12902" sId="4" numFmtId="4">
    <oc r="F224">
      <v>3</v>
    </oc>
    <nc r="F224">
      <v>4</v>
    </nc>
  </rcc>
  <rcc rId="12903" sId="4" numFmtId="4">
    <oc r="G224">
      <f>14+10+10</f>
    </oc>
    <nc r="G224">
      <v>44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12986" sId="3" numFmtId="4">
    <oc r="D224">
      <v>6</v>
    </oc>
    <nc r="D224">
      <v>7</v>
    </nc>
  </rcc>
  <rcc rId="12987" sId="3">
    <oc r="E224">
      <f>40+4.4+4.4+4.4+4.4+4.4</f>
    </oc>
    <nc r="E224">
      <f>40+4.4+4.4+4.4+4.4+4.4+15</f>
    </nc>
  </rcc>
  <rcc rId="12988" sId="3" numFmtId="4">
    <oc r="F224">
      <v>6</v>
    </oc>
    <nc r="F224">
      <v>7</v>
    </nc>
  </rcc>
  <rcc rId="12989" sId="3" numFmtId="4">
    <oc r="G224">
      <f>40+4.4+4.4+4.4+4.4+4.4</f>
    </oc>
    <nc r="G224">
      <v>77</v>
    </nc>
  </rcc>
  <rcc rId="12990" sId="3" numFmtId="4">
    <oc r="D210">
      <v>1</v>
    </oc>
    <nc r="D210">
      <v>2</v>
    </nc>
  </rcc>
  <rcc rId="12991" sId="3" numFmtId="4">
    <oc r="E210">
      <v>10</v>
    </oc>
    <nc r="E210">
      <f>10+200</f>
    </nc>
  </rcc>
  <rcc rId="12992" sId="3" numFmtId="4">
    <oc r="F210">
      <v>1</v>
    </oc>
    <nc r="F210">
      <v>2</v>
    </nc>
  </rcc>
  <rcc rId="12993" sId="3" numFmtId="4">
    <oc r="G210">
      <v>10</v>
    </oc>
    <nc r="G210">
      <v>210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3471" sId="4" numFmtId="4">
    <oc r="F207">
      <v>10</v>
    </oc>
    <nc r="F207">
      <v>11</v>
    </nc>
  </rcc>
  <rcc rId="13472" sId="4" numFmtId="4">
    <oc r="G207">
      <v>95.4</v>
    </oc>
    <nc r="G207">
      <f>5+7.4+10+25+5+10+15+3+10+5+7.5</f>
    </nc>
  </rcc>
  <rcc rId="13473" sId="4" numFmtId="4">
    <oc r="G208">
      <v>25</v>
    </oc>
    <nc r="G208">
      <f>10+5+5+5</f>
    </nc>
  </rcc>
  <rcc rId="13474" sId="4">
    <oc r="G209">
      <f>7.5+3</f>
    </oc>
    <nc r="G209">
      <f>7.5+3</f>
    </nc>
  </rcc>
  <rcc rId="13475" sId="4" numFmtId="4">
    <oc r="G210">
      <v>28</v>
    </oc>
    <nc r="G210">
      <f>13+15</f>
    </nc>
  </rcc>
  <rcc rId="13476" sId="4">
    <oc r="G213">
      <f>20+10</f>
    </oc>
    <nc r="G213">
      <f>20+10</f>
    </nc>
  </rcc>
  <rcc rId="13477" sId="4" numFmtId="4">
    <nc r="F220">
      <v>1</v>
    </nc>
  </rcc>
  <rcc rId="13478" sId="4">
    <nc r="G220">
      <f>45</f>
    </nc>
  </rcc>
  <rcc rId="13479" sId="4" numFmtId="4">
    <oc r="G223">
      <v>38</v>
    </oc>
    <nc r="G223">
      <f>10+8+2+10+8</f>
    </nc>
  </rcc>
  <rcc rId="13480" sId="4">
    <oc r="G224">
      <f>14+10+10+10+10+6</f>
    </oc>
    <nc r="G224">
      <f>14+10+10+10+10+6</f>
    </nc>
  </rcc>
  <rcc rId="13481" sId="4">
    <oc r="G239">
      <f>15+10+10+10+3+8+8+8+8+80</f>
    </oc>
    <nc r="G239">
      <f>15+10+10+10+3+8+8+8+8+80</f>
    </nc>
  </rcc>
  <rcc rId="13482" sId="4">
    <oc r="G240">
      <f>10+9+5+6</f>
    </oc>
    <nc r="G240">
      <f>10+9+5+6</f>
    </nc>
  </rcc>
  <rcc rId="13483" sId="4" numFmtId="4">
    <oc r="G242">
      <v>48</v>
    </oc>
    <nc r="G242">
      <f>8+10+20+10</f>
    </nc>
  </rcc>
  <rcc rId="13484" sId="4" numFmtId="4">
    <oc r="G102">
      <v>243</v>
    </oc>
    <nc r="G102">
      <f>4+5+13+8+160+10+5+14+10+3+5+6</f>
    </nc>
  </rcc>
  <rcc rId="13485" sId="4">
    <oc r="G103">
      <f>12+12+5+8+50+14+30+12+8+12+5</f>
    </oc>
    <nc r="G103">
      <f>12+12+5+8+50+14+30+12+8+12+5</f>
    </nc>
  </rcc>
  <rcc rId="13486" sId="4" numFmtId="4">
    <oc r="G104">
      <v>22</v>
    </oc>
    <nc r="G104">
      <f>5+12+5</f>
    </nc>
  </rcc>
  <rcc rId="13487" sId="4" numFmtId="4">
    <oc r="G105">
      <v>134</v>
    </oc>
    <nc r="G105">
      <f>5+70+5+13+5+5+8+10+5+8</f>
    </nc>
  </rcc>
  <rcc rId="13488" sId="4">
    <oc r="G106">
      <f>45+10+5+10+4</f>
    </oc>
    <nc r="G106">
      <f>45+10+5+10+4</f>
    </nc>
  </rcc>
  <rcc rId="13489" sId="4">
    <oc r="G107">
      <f>7+14.5</f>
    </oc>
    <nc r="G107">
      <f>7+14.5</f>
    </nc>
  </rcc>
  <rcc rId="13490" sId="4">
    <oc r="G108">
      <f>10+5</f>
    </oc>
    <nc r="G108">
      <f>10+5</f>
    </nc>
  </rcc>
  <rcc rId="13491" sId="4" numFmtId="4">
    <oc r="G109">
      <v>186</v>
    </oc>
    <nc r="G109">
      <f>50+10+5+5+5+10+5+10+13+5+7+10+5+5+5+5+11+5+15</f>
    </nc>
  </rcc>
  <rcc rId="13492" sId="4">
    <oc r="G110">
      <f>6+4+5+5+3+7</f>
    </oc>
    <nc r="G110">
      <f>6+4+5+5+3+7</f>
    </nc>
  </rcc>
  <rcc rId="13493" sId="4">
    <oc r="G111">
      <f>1.8+1.8</f>
    </oc>
    <nc r="G111">
      <f>1.8+1.8</f>
    </nc>
  </rcc>
  <rcc rId="13494" sId="4">
    <oc r="G115">
      <f>5+5+13.5</f>
    </oc>
    <nc r="G115">
      <f>5+5+13.5</f>
    </nc>
  </rcc>
  <rcc rId="13495" sId="4" numFmtId="4">
    <oc r="G117">
      <v>18</v>
    </oc>
    <nc r="G117">
      <f>8+10</f>
    </nc>
  </rcc>
  <rcc rId="13496" sId="4">
    <oc r="G120">
      <f>7.5+6</f>
    </oc>
    <nc r="G120">
      <f>7.5+6</f>
    </nc>
  </rcc>
  <rcc rId="13497" sId="4" numFmtId="4">
    <oc r="G121">
      <v>30</v>
    </oc>
    <nc r="G121">
      <f>3+5+7+15</f>
    </nc>
  </rcc>
  <rcc rId="13498" sId="4">
    <oc r="G122">
      <f>2.5+5</f>
    </oc>
    <nc r="G122">
      <f>2.5+5</f>
    </nc>
  </rcc>
  <rcc rId="13499" sId="4">
    <oc r="G123">
      <f>8+10+1.8</f>
    </oc>
    <nc r="G123">
      <f>8+10+1.8</f>
    </nc>
  </rcc>
  <rcc rId="13500" sId="4" numFmtId="4">
    <oc r="F124">
      <v>1</v>
    </oc>
    <nc r="F124">
      <v>2</v>
    </nc>
  </rcc>
  <rcc rId="13501" sId="4">
    <oc r="G124">
      <f>5</f>
    </oc>
    <nc r="G124">
      <f>5+5</f>
    </nc>
  </rcc>
  <rcc rId="13502" sId="4" numFmtId="4">
    <oc r="G127">
      <v>59</v>
    </oc>
    <nc r="G127">
      <f>15+14+13+10+7</f>
    </nc>
  </rcc>
  <rcc rId="13503" sId="4" numFmtId="4">
    <oc r="G128">
      <v>28</v>
    </oc>
    <nc r="G128">
      <f>3+5+10+10</f>
    </nc>
  </rcc>
  <rcc rId="13504" sId="4" numFmtId="4">
    <oc r="G129">
      <v>19</v>
    </oc>
    <nc r="G129">
      <f>12+7</f>
    </nc>
  </rcc>
  <rcc rId="13505" sId="4">
    <oc r="G133">
      <f>3+10</f>
    </oc>
    <nc r="G133">
      <f>3+10</f>
    </nc>
  </rcc>
  <rcc rId="13506" sId="4" numFmtId="4">
    <oc r="G140">
      <v>70</v>
    </oc>
    <nc r="G140">
      <f>8+14+13+3+5+12+5+5+5</f>
    </nc>
  </rcc>
  <rcc rId="13507" sId="4" numFmtId="4">
    <oc r="G141">
      <v>15</v>
    </oc>
    <nc r="G141">
      <f>12+3</f>
    </nc>
  </rcc>
  <rcc rId="13508" sId="4" numFmtId="4">
    <oc r="G143">
      <v>34</v>
    </oc>
    <nc r="G143">
      <f>14+12+8</f>
    </nc>
  </rcc>
  <rcc rId="13509" sId="4" numFmtId="4">
    <oc r="G145">
      <v>31.7</v>
    </oc>
    <nc r="G145">
      <f>2+4.2+13+2.5+5+2.5+2.5</f>
    </nc>
  </rcc>
  <rcc rId="13510" sId="4" numFmtId="4">
    <oc r="G146">
      <v>11</v>
    </oc>
    <nc r="G146">
      <f>5+6</f>
    </nc>
  </rcc>
  <rfmt sheetId="4" sqref="F147" start="0" length="0">
    <dxf>
      <numFmt numFmtId="2" formatCode="0.00"/>
    </dxf>
  </rfmt>
  <rcc rId="13511" sId="4" odxf="1" dxf="1" numFmtId="4">
    <oc r="G147">
      <v>6</v>
    </oc>
    <nc r="G147">
      <f>3+3</f>
    </nc>
    <odxf>
      <numFmt numFmtId="0" formatCode="General"/>
    </odxf>
    <ndxf>
      <numFmt numFmtId="2" formatCode="0.00"/>
    </ndxf>
  </rcc>
  <rcc rId="13512" sId="4">
    <oc r="G148">
      <v>57.5</v>
    </oc>
    <nc r="G148">
      <f>14.5+5+13+10+5+10</f>
    </nc>
  </rcc>
  <rcc rId="13513" sId="4" numFmtId="4">
    <oc r="G64">
      <v>210</v>
    </oc>
    <nc r="G64">
      <f>10+7+12+8+15+15+4+12+8+8+7+12+7+15+6+6+8+7+5+15+10+3+10</f>
    </nc>
  </rcc>
  <rcc rId="13514" sId="4" numFmtId="4">
    <oc r="G65">
      <v>275.5</v>
    </oc>
    <nc r="G65">
      <f>15+15+5+15+15+15+15+8+15+15+15+15+4.5+15+10+15+10+15+15+15+13</f>
    </nc>
  </rcc>
  <rcc rId="13515" sId="4" numFmtId="4">
    <oc r="G66">
      <v>399.5</v>
    </oc>
    <nc r="G66">
      <f>5+350+5+30+5+4.5</f>
    </nc>
  </rcc>
  <rcc rId="13516" sId="4">
    <oc r="G68">
      <f>15+5+5+15+6</f>
    </oc>
    <nc r="G68">
      <f>15+5+5+15+6</f>
    </nc>
  </rcc>
  <rcc rId="13517" sId="4" numFmtId="4">
    <oc r="G70">
      <v>9.5</v>
    </oc>
    <nc r="G70">
      <f>2.5+7</f>
    </nc>
  </rcc>
  <rcc rId="13518" sId="4">
    <oc r="G72">
      <f>5+10+10</f>
    </oc>
    <nc r="G72">
      <f>5+10+10</f>
    </nc>
  </rcc>
  <rcc rId="13519" sId="4">
    <oc r="G73">
      <f>6</f>
    </oc>
    <nc r="G73">
      <f>6</f>
    </nc>
  </rcc>
  <rcc rId="13520" sId="4">
    <oc r="G75">
      <f>5+10+7+5+7+15+5</f>
    </oc>
    <nc r="G75">
      <f>5+10+7+5+7+15+5</f>
    </nc>
  </rcc>
  <rcc rId="13521" sId="4" numFmtId="4">
    <oc r="F76">
      <v>1</v>
    </oc>
    <nc r="F76">
      <v>2</v>
    </nc>
  </rcc>
  <rcc rId="13522" sId="4" numFmtId="4">
    <oc r="G76">
      <v>3.5</v>
    </oc>
    <nc r="G76">
      <f>3.5+5</f>
    </nc>
  </rcc>
  <rcc rId="13523" sId="4" numFmtId="4">
    <oc r="G79">
      <v>25</v>
    </oc>
    <nc r="G79">
      <f>10+15</f>
    </nc>
  </rcc>
  <rcc rId="13524" sId="4" numFmtId="4">
    <oc r="F81">
      <v>3</v>
    </oc>
    <nc r="F81">
      <v>4</v>
    </nc>
  </rcc>
  <rcc rId="13525" sId="4">
    <oc r="G81">
      <v>110</v>
    </oc>
    <nc r="G81">
      <f>100+5+5+10</f>
    </nc>
  </rcc>
  <rcc rId="13526" sId="4">
    <oc r="G82">
      <f>5+15+5</f>
    </oc>
    <nc r="G82">
      <f>5+15+5</f>
    </nc>
  </rcc>
  <rcc rId="13527" sId="4">
    <oc r="G83">
      <f>4</f>
    </oc>
    <nc r="G83">
      <f>4</f>
    </nc>
  </rcc>
  <rcc rId="13528" sId="4" numFmtId="4">
    <oc r="G91">
      <v>104</v>
    </oc>
    <nc r="G91">
      <f>10+12+8+40+5+7+5+12+5</f>
    </nc>
  </rcc>
  <rcc rId="13529" sId="4">
    <oc r="G95">
      <f>6+15+10</f>
    </oc>
    <nc r="G95">
      <f>6+15+10</f>
    </nc>
  </rcc>
  <rcc rId="13530" sId="4">
    <oc r="G97">
      <f>6+7+5</f>
    </oc>
    <nc r="G97">
      <f>6+7+5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3615" sId="3" numFmtId="4">
    <oc r="D156">
      <v>1</v>
    </oc>
    <nc r="D156">
      <v>2</v>
    </nc>
  </rcc>
  <rcc rId="13616" sId="3" numFmtId="4">
    <oc r="E156">
      <v>67.8</v>
    </oc>
    <nc r="E156">
      <f>67.8+15</f>
    </nc>
  </rcc>
  <rcc rId="13617" sId="3" numFmtId="4">
    <oc r="F156">
      <v>1</v>
    </oc>
    <nc r="F156">
      <v>2</v>
    </nc>
  </rcc>
  <rcc rId="13618" sId="3" numFmtId="4">
    <oc r="G156">
      <v>67.8</v>
    </oc>
    <nc r="G156">
      <v>82.8</v>
    </nc>
  </rcc>
  <rcc rId="13619" sId="3" numFmtId="4">
    <oc r="D35">
      <v>8</v>
    </oc>
    <nc r="D35">
      <v>9</v>
    </nc>
  </rcc>
  <rcc rId="13620" sId="3">
    <oc r="E35">
      <f>15+100+25+20+20+25+160+45</f>
    </oc>
    <nc r="E35">
      <f>15+100+25+20+20+25+160+45+15</f>
    </nc>
  </rcc>
  <rcc rId="13621" sId="3" numFmtId="4">
    <oc r="F35">
      <v>8</v>
    </oc>
    <nc r="F35">
      <v>9</v>
    </nc>
  </rcc>
  <rcc rId="13622" sId="3" numFmtId="4">
    <oc r="G35">
      <v>410</v>
    </oc>
    <nc r="G35">
      <v>425</v>
    </nc>
  </rcc>
  <rcc rId="13623" sId="3" numFmtId="4">
    <oc r="D82">
      <v>2</v>
    </oc>
    <nc r="D82">
      <v>3</v>
    </nc>
  </rcc>
  <rcc rId="13624" sId="3">
    <oc r="E82">
      <f>8+10</f>
    </oc>
    <nc r="E82">
      <f>8+10+15</f>
    </nc>
  </rcc>
  <rcc rId="13625" sId="3" numFmtId="4">
    <oc r="F82">
      <v>2</v>
    </oc>
    <nc r="F82">
      <v>3</v>
    </nc>
  </rcc>
  <rcc rId="13626" sId="3" numFmtId="4">
    <oc r="G82">
      <f>8+10</f>
    </oc>
    <nc r="G82">
      <v>33</v>
    </nc>
  </rcc>
  <rcc rId="13627" sId="3" numFmtId="4">
    <nc r="D93">
      <v>1</v>
    </nc>
  </rcc>
  <rcc rId="13628" sId="3" numFmtId="4">
    <nc r="E93">
      <v>15</v>
    </nc>
  </rcc>
  <rcc rId="13629" sId="3" numFmtId="4">
    <nc r="F93">
      <v>1</v>
    </nc>
  </rcc>
  <rcc rId="13630" sId="3" numFmtId="4">
    <nc r="G93">
      <v>15</v>
    </nc>
  </rcc>
  <rcc rId="13631" sId="3" numFmtId="4">
    <oc r="D203">
      <v>1</v>
    </oc>
    <nc r="D203">
      <v>2</v>
    </nc>
  </rcc>
  <rcc rId="13632" sId="3" numFmtId="4">
    <oc r="E203">
      <v>10</v>
    </oc>
    <nc r="E203">
      <f>10+15</f>
    </nc>
  </rcc>
  <rcc rId="13633" sId="3" numFmtId="4">
    <oc r="F203">
      <v>1</v>
    </oc>
    <nc r="F203">
      <v>2</v>
    </nc>
  </rcc>
  <rcc rId="13634" sId="3" numFmtId="4">
    <oc r="G203">
      <v>10</v>
    </oc>
    <nc r="G203">
      <v>25</v>
    </nc>
  </rcc>
  <rcc rId="13635" sId="3" numFmtId="4">
    <oc r="D185">
      <v>1</v>
    </oc>
    <nc r="D185">
      <v>2</v>
    </nc>
  </rcc>
  <rcc rId="13636" sId="3" numFmtId="4">
    <oc r="E185">
      <v>15</v>
    </oc>
    <nc r="E185">
      <f>15+15</f>
    </nc>
  </rcc>
  <rcc rId="13637" sId="3" numFmtId="4">
    <oc r="F185">
      <v>1</v>
    </oc>
    <nc r="F185">
      <v>2</v>
    </nc>
  </rcc>
  <rcc rId="13638" sId="3" numFmtId="4">
    <oc r="G185">
      <v>15</v>
    </oc>
    <nc r="G185">
      <v>30</v>
    </nc>
  </rcc>
  <rcc rId="13639" sId="3" numFmtId="4">
    <oc r="D30">
      <v>8</v>
    </oc>
    <nc r="D30">
      <v>9</v>
    </nc>
  </rcc>
  <rcc rId="13640" sId="3">
    <oc r="E30">
      <f>30+4.4+15+10+30+15+10+5</f>
    </oc>
    <nc r="E30">
      <f>30+4.4+15+10+30+15+10+5+150</f>
    </nc>
  </rcc>
  <rcc rId="13641" sId="3" numFmtId="4">
    <oc r="F30">
      <v>8</v>
    </oc>
    <nc r="F30">
      <v>9</v>
    </nc>
  </rcc>
  <rcc rId="13642" sId="3" numFmtId="4">
    <oc r="G30">
      <v>119.4</v>
    </oc>
    <nc r="G30">
      <v>269.39999999999998</v>
    </nc>
  </rcc>
  <rcc rId="13643" sId="4">
    <oc r="D33">
      <v>25</v>
    </oc>
    <nc r="D33">
      <v>27</v>
    </nc>
  </rcc>
  <rcc rId="13644" sId="4">
    <oc r="E33">
      <f>5.5+15+6+4+10+10+6+6+15+10+8+5+6+5+4+12+12+5+5+5+11+14+10+8+12</f>
    </oc>
    <nc r="E33">
      <f>5.5+15+6+4+10+10+6+6+15+10+8+5+6+5+4+12+12+5+5+5+11+14+10+8+12+10+12</f>
    </nc>
  </rcc>
  <rcc rId="13645" sId="4">
    <oc r="F33">
      <v>25</v>
    </oc>
    <nc r="F33">
      <v>27</v>
    </nc>
  </rcc>
  <rcc rId="13646" sId="4">
    <oc r="G33">
      <f>5.5+15+6+4+10+10+6+6+15+10+8+5+6+5+4+12+12+5+5+5+11+14+10+8+12</f>
    </oc>
    <nc r="G33">
      <v>231.5</v>
    </nc>
  </rcc>
  <rcc rId="13647" sId="4" numFmtId="4">
    <oc r="D36">
      <v>32</v>
    </oc>
    <nc r="D36">
      <v>35</v>
    </nc>
  </rcc>
  <rcc rId="13648" sId="4">
    <oc r="E36">
      <f>5+6+5+2+5+10+3+5+2+14+5+6+2+6+5+3+2.5+10+1+2+3+2+1.5+14+2.5+2+3+3+5+14.5+5+5</f>
    </oc>
    <nc r="E36">
      <f>5+6+5+2+5+10+3+5+2+14+5+6+2+6+5+3+2.5+10+1+2+3+2+1.5+14+2.5+2+3+3+5+14.5+5+5+15+15+10</f>
    </nc>
  </rcc>
  <rcc rId="13649" sId="4" numFmtId="4">
    <oc r="F36">
      <v>32</v>
    </oc>
    <nc r="F36">
      <v>35</v>
    </nc>
  </rcc>
  <rcc rId="13650" sId="4" numFmtId="4">
    <oc r="G36">
      <v>160</v>
    </oc>
    <nc r="G36">
      <v>200</v>
    </nc>
  </rcc>
  <rcc rId="13651" sId="4" numFmtId="4">
    <oc r="D105">
      <v>10</v>
    </oc>
    <nc r="D105">
      <v>11</v>
    </nc>
  </rcc>
  <rcc rId="13652" sId="4">
    <oc r="E105">
      <f>5+70+5+13+5+5+8+10+5+8</f>
    </oc>
    <nc r="E105">
      <f>5+70+5+13+5+5+8+10+5+8+15</f>
    </nc>
  </rcc>
  <rcc rId="13653" sId="4" numFmtId="4">
    <oc r="F105">
      <v>10</v>
    </oc>
    <nc r="F105">
      <v>11</v>
    </nc>
  </rcc>
  <rcc rId="13654" sId="4" numFmtId="4">
    <oc r="G105">
      <f>5+70+5+13+5+5+8+10+5+8</f>
    </oc>
    <nc r="G105">
      <v>149</v>
    </nc>
  </rcc>
  <rcc rId="13655" sId="4">
    <oc r="D148">
      <v>6</v>
    </oc>
    <nc r="D148">
      <v>7</v>
    </nc>
  </rcc>
  <rcc rId="13656" sId="4">
    <oc r="E148">
      <f>14.5+5+13+10+5+10</f>
    </oc>
    <nc r="E148">
      <f>14.5+5+13+10+5+10+4</f>
    </nc>
  </rcc>
  <rcc rId="13657" sId="4">
    <oc r="F148">
      <v>6</v>
    </oc>
    <nc r="F148">
      <v>7</v>
    </nc>
  </rcc>
  <rcc rId="13658" sId="4">
    <oc r="G148">
      <f>14.5+5+13+10+5+10</f>
    </oc>
    <nc r="G148">
      <v>61.5</v>
    </nc>
  </rcc>
  <rcc rId="13659" sId="4" numFmtId="4">
    <nc r="D233">
      <v>1</v>
    </nc>
  </rcc>
  <rcc rId="13660" sId="4" numFmtId="4">
    <nc r="E233">
      <v>5</v>
    </nc>
  </rcc>
  <rcc rId="13661" sId="4" numFmtId="4">
    <nc r="F233">
      <v>1</v>
    </nc>
  </rcc>
  <rcc rId="13662" sId="4" numFmtId="4">
    <nc r="G233">
      <v>5</v>
    </nc>
  </rcc>
  <rcc rId="13663" sId="4" numFmtId="4">
    <oc r="D64">
      <v>23</v>
    </oc>
    <nc r="D64">
      <v>26</v>
    </nc>
  </rcc>
  <rcc rId="13664" sId="4">
    <oc r="E64">
      <f>10+7+12+8+15+15+4+12+8+8+7+12+7+15+6+6+8+7+5+15+10+3+10</f>
    </oc>
    <nc r="E64">
      <f>10+7+12+8+15+15+4+12+8+8+7+12+7+15+6+6+8+7+5+15+10+3+10+10+5+5</f>
    </nc>
  </rcc>
  <rcc rId="13665" sId="4" numFmtId="4">
    <oc r="F64">
      <v>23</v>
    </oc>
    <nc r="F64">
      <v>26</v>
    </nc>
  </rcc>
  <rcc rId="13666" sId="4" numFmtId="4">
    <oc r="G64">
      <f>10+7+12+8+15+15+4+12+8+8+7+12+7+15+6+6+8+7+5+15+10+3+10</f>
    </oc>
    <nc r="G64">
      <v>230</v>
    </nc>
  </rcc>
  <rcc rId="13667" sId="4">
    <nc r="F1">
      <v>821</v>
    </nc>
  </rcc>
  <rfmt sheetId="4" sqref="F1">
    <dxf>
      <fill>
        <patternFill patternType="solid">
          <bgColor rgb="FFFFFF00"/>
        </patternFill>
      </fill>
    </dxf>
  </rfmt>
  <rcc rId="13668" sId="4" numFmtId="4">
    <oc r="D145">
      <v>8</v>
    </oc>
    <nc r="D145">
      <v>9</v>
    </nc>
  </rcc>
  <rcc rId="13669" sId="4">
    <oc r="E145">
      <f>2+4.2+13+2.5+5+2.5+2.5+2.5</f>
    </oc>
    <nc r="E145">
      <f>2+4.2+13+2.5+5+2.5+2.5+2.5+3</f>
    </nc>
  </rcc>
  <rcc rId="13670" sId="4" numFmtId="4">
    <oc r="F145">
      <v>8</v>
    </oc>
    <nc r="F145">
      <v>9</v>
    </nc>
  </rcc>
  <rcc rId="13671" sId="4" numFmtId="4">
    <oc r="G145">
      <v>34.200000000000003</v>
    </oc>
    <nc r="G145">
      <v>37.200000000000003</v>
    </nc>
  </rcc>
  <rcc rId="13672" sId="4" numFmtId="4">
    <oc r="D207">
      <v>12</v>
    </oc>
    <nc r="D207">
      <v>13</v>
    </nc>
  </rcc>
  <rcc rId="13673" sId="4">
    <oc r="E207">
      <f>5+7.4+10+25+5+10+15+3+10+5+7.5+5</f>
    </oc>
    <nc r="E207">
      <f>5+7.4+10+25+5+10+15+3+10+5+7.5+5+15</f>
    </nc>
  </rcc>
  <rcc rId="13674" sId="4" numFmtId="4">
    <oc r="F207">
      <v>12</v>
    </oc>
    <nc r="F207">
      <v>13</v>
    </nc>
  </rcc>
  <rcc rId="13675" sId="4" numFmtId="4">
    <oc r="G207">
      <v>107.9</v>
    </oc>
    <nc r="G207">
      <v>122.9</v>
    </nc>
  </rcc>
  <rcc rId="13676" sId="4" numFmtId="4">
    <oc r="D38">
      <v>10</v>
    </oc>
    <nc r="D38">
      <v>11</v>
    </nc>
  </rcc>
  <rcc rId="13677" sId="4">
    <oc r="E38">
      <f>7+12+15+13+13+12+7+5+35+15</f>
    </oc>
    <nc r="E38">
      <f>7+12+15+13+13+12+7+5+35+15+2.2</f>
    </nc>
  </rcc>
  <rcc rId="13678" sId="4" numFmtId="4">
    <oc r="F38">
      <v>10</v>
    </oc>
    <nc r="F38">
      <v>11</v>
    </nc>
  </rcc>
  <rcc rId="13679" sId="4" numFmtId="4">
    <oc r="G38">
      <f>7+12+15+13+13+12+7+5+35+15</f>
    </oc>
    <nc r="G38">
      <v>136.19999999999999</v>
    </nc>
  </rcc>
  <rcc rId="13680" sId="4" numFmtId="4">
    <oc r="D102">
      <v>12</v>
    </oc>
    <nc r="D102">
      <v>13</v>
    </nc>
  </rcc>
  <rcc rId="13681" sId="4">
    <oc r="E102">
      <f>4+5+13+8+160+10+5+14+10+3+5+6</f>
    </oc>
    <nc r="E102">
      <f>4+5+13+8+160+10+5+14+10+3+5+6+8</f>
    </nc>
  </rcc>
  <rcc rId="13682" sId="4" numFmtId="4">
    <oc r="F102">
      <v>12</v>
    </oc>
    <nc r="F102">
      <v>13</v>
    </nc>
  </rcc>
  <rcc rId="13683" sId="4" numFmtId="4">
    <oc r="G102">
      <f>4+5+13+8+160+10+5+14+10+3+5+6</f>
    </oc>
    <nc r="G102">
      <v>251</v>
    </nc>
  </rcc>
  <rcc rId="13684" sId="4" numFmtId="4">
    <oc r="D103">
      <v>11</v>
    </oc>
    <nc r="D103">
      <v>13</v>
    </nc>
  </rcc>
  <rcc rId="13685" sId="4">
    <oc r="E103">
      <f>12+12+5+8+50+14+30+12+8+12+5</f>
    </oc>
    <nc r="E103">
      <f>12+12+5+8+50+14+30+12+8+12+5+3+13</f>
    </nc>
  </rcc>
  <rcc rId="13686" sId="4" numFmtId="4">
    <oc r="F103">
      <v>11</v>
    </oc>
    <nc r="F103">
      <v>13</v>
    </nc>
  </rcc>
  <rcc rId="13687" sId="4" numFmtId="4">
    <oc r="G103">
      <f>12+12+5+8+50+14+30+12+8+12+5</f>
    </oc>
    <nc r="G103">
      <v>184</v>
    </nc>
  </rcc>
  <rcc rId="13688" sId="3" numFmtId="4">
    <nc r="D227">
      <v>1</v>
    </nc>
  </rcc>
  <rcc rId="13689" sId="3" numFmtId="4">
    <nc r="E227">
      <v>12</v>
    </nc>
  </rcc>
  <rcc rId="13690" sId="3" numFmtId="4">
    <nc r="F227">
      <v>1</v>
    </nc>
  </rcc>
  <rcc rId="13691" sId="3" numFmtId="4">
    <nc r="G227">
      <v>12</v>
    </nc>
  </rcc>
  <rcc rId="13692" sId="3" numFmtId="4">
    <nc r="D225">
      <v>1</v>
    </nc>
  </rcc>
  <rcc rId="13693" sId="3" numFmtId="4">
    <nc r="E225">
      <v>15</v>
    </nc>
  </rcc>
  <rcc rId="13694" sId="3" numFmtId="4">
    <nc r="F225">
      <v>1</v>
    </nc>
  </rcc>
  <rcc rId="13695" sId="3" numFmtId="4">
    <nc r="G225">
      <v>15</v>
    </nc>
  </rcc>
  <rcc rId="13696" sId="3">
    <oc r="D36">
      <v>6</v>
    </oc>
    <nc r="D36">
      <v>8</v>
    </nc>
  </rcc>
  <rcc rId="13697" sId="3">
    <oc r="E36">
      <f>50+150+18+160+90+200</f>
    </oc>
    <nc r="E36">
      <f>50+150+18+160+90+200+75+15</f>
    </nc>
  </rcc>
  <rcc rId="13698" sId="3">
    <oc r="F36">
      <v>6</v>
    </oc>
    <nc r="F36">
      <v>8</v>
    </nc>
  </rcc>
  <rcc rId="13699" sId="3">
    <oc r="G36">
      <f>50+150+18+160+90+200</f>
    </oc>
    <nc r="G36">
      <v>758</v>
    </nc>
  </rcc>
  <rcc rId="13700" sId="3" numFmtId="4">
    <nc r="D100">
      <v>1</v>
    </nc>
  </rcc>
  <rcc rId="13701" sId="3" numFmtId="4">
    <nc r="E100">
      <v>15</v>
    </nc>
  </rcc>
  <rcc rId="13702" sId="3" numFmtId="4">
    <nc r="F100">
      <v>1</v>
    </nc>
  </rcc>
  <rcc rId="13703" sId="3" numFmtId="4">
    <nc r="G100">
      <v>15</v>
    </nc>
  </rcc>
  <rcc rId="13704" sId="3" numFmtId="4">
    <oc r="D67">
      <v>1</v>
    </oc>
    <nc r="D67">
      <v>2</v>
    </nc>
  </rcc>
  <rcc rId="13705" sId="3" numFmtId="4">
    <oc r="E67">
      <v>414</v>
    </oc>
    <nc r="E67">
      <f>414+20</f>
    </nc>
  </rcc>
  <rcc rId="13706" sId="3" numFmtId="4">
    <oc r="F67">
      <v>1</v>
    </oc>
    <nc r="F67">
      <v>2</v>
    </nc>
  </rcc>
  <rcc rId="13707" sId="3" numFmtId="4">
    <oc r="G67">
      <v>414</v>
    </oc>
    <nc r="G67">
      <v>434</v>
    </nc>
  </rcc>
  <rcc rId="13708" sId="3" numFmtId="4">
    <oc r="D98">
      <v>1</v>
    </oc>
    <nc r="D98">
      <v>2</v>
    </nc>
  </rcc>
  <rcc rId="13709" sId="3" numFmtId="4">
    <oc r="E98">
      <v>10</v>
    </oc>
    <nc r="E98">
      <f>10+45</f>
    </nc>
  </rcc>
  <rcc rId="13710" sId="3" numFmtId="4">
    <oc r="F98">
      <v>1</v>
    </oc>
    <nc r="F98">
      <v>2</v>
    </nc>
  </rcc>
  <rcc rId="13711" sId="3" numFmtId="4">
    <oc r="G98">
      <v>10</v>
    </oc>
    <nc r="G98">
      <v>55</v>
    </nc>
  </rcc>
  <rcc rId="13712" sId="4" numFmtId="4">
    <oc r="D153">
      <v>6</v>
    </oc>
    <nc r="D153">
      <v>7</v>
    </nc>
  </rcc>
  <rcc rId="13713" sId="4">
    <oc r="E153">
      <f>5+4+10+5+5+15</f>
    </oc>
    <nc r="E153">
      <f>5+4+10+5+5+15+5</f>
    </nc>
  </rcc>
  <rcc rId="13714" sId="4" numFmtId="4">
    <oc r="F153">
      <v>6</v>
    </oc>
    <nc r="F153">
      <v>7</v>
    </nc>
  </rcc>
  <rcc rId="13715" sId="4" numFmtId="4">
    <oc r="G153">
      <v>44</v>
    </oc>
    <nc r="G153">
      <v>49</v>
    </nc>
  </rcc>
  <rcc rId="13716" sId="4">
    <oc r="E45">
      <f>15+10+10+13+6+10+15+15+15</f>
    </oc>
    <nc r="E45">
      <f>15+10+10+13+6+10+15+15+15+15+8</f>
    </nc>
  </rcc>
  <rcc rId="13717" sId="4" numFmtId="4">
    <oc r="F45">
      <v>9</v>
    </oc>
    <nc r="F45">
      <v>12</v>
    </nc>
  </rcc>
  <rcc rId="13718" sId="4" numFmtId="4">
    <oc r="D45">
      <v>9</v>
    </oc>
    <nc r="D45">
      <v>12</v>
    </nc>
  </rcc>
  <rcc rId="13719" sId="4" numFmtId="4">
    <oc r="G45">
      <v>109</v>
    </oc>
    <nc r="G45">
      <v>132</v>
    </nc>
  </rcc>
  <rcc rId="13720" sId="4" numFmtId="4">
    <oc r="D111">
      <v>2</v>
    </oc>
    <nc r="D111">
      <v>3</v>
    </nc>
  </rcc>
  <rcc rId="13721" sId="4">
    <oc r="E111">
      <f>1.8+1.8</f>
    </oc>
    <nc r="E111">
      <f>1.8+1.8+1.8</f>
    </nc>
  </rcc>
  <rcc rId="13722" sId="4" numFmtId="4">
    <oc r="F111">
      <v>2</v>
    </oc>
    <nc r="F111">
      <v>3</v>
    </nc>
  </rcc>
  <rcc rId="13723" sId="4" numFmtId="4">
    <oc r="G111">
      <f>1.8+1.8</f>
    </oc>
    <nc r="G111">
      <v>5.4</v>
    </nc>
  </rcc>
  <rcc rId="13724" sId="4" numFmtId="4">
    <oc r="D65">
      <v>21</v>
    </oc>
    <nc r="D65">
      <v>25</v>
    </nc>
  </rcc>
  <rcc rId="13725" sId="4">
    <oc r="E65">
      <f>15+15+5+15+15+15+15+8+15+15+15+15+4.5+15+10+15+10+15+15+15+13</f>
    </oc>
    <nc r="E65">
      <f>15+15+5+15+15+15+15+8+15+15+15+15+4.5+15+10+15+10+15+15+15+13+15+15+5+5</f>
    </nc>
  </rcc>
  <rcc rId="13726" sId="4" numFmtId="4">
    <oc r="F65">
      <v>21</v>
    </oc>
    <nc r="F65">
      <v>25</v>
    </nc>
  </rcc>
  <rcc rId="13727" sId="4" numFmtId="4">
    <oc r="G65">
      <f>15+15+5+15+15+15+15+8+15+15+15+15+4.5+15+10+15+10+15+15+15+13</f>
    </oc>
    <nc r="G65">
      <v>315.5</v>
    </nc>
  </rcc>
  <rcc rId="13728" sId="4" numFmtId="4">
    <oc r="D70">
      <v>2</v>
    </oc>
    <nc r="D70">
      <v>3</v>
    </nc>
  </rcc>
  <rcc rId="13729" sId="4">
    <oc r="E70">
      <f>2.5+7</f>
    </oc>
    <nc r="E70">
      <f>2.5+7+13</f>
    </nc>
  </rcc>
  <rcc rId="13730" sId="4" numFmtId="4">
    <oc r="F70">
      <v>2</v>
    </oc>
    <nc r="F70">
      <v>3</v>
    </nc>
  </rcc>
  <rcc rId="13731" sId="4" numFmtId="4">
    <oc r="G70">
      <f>2.5+7</f>
    </oc>
    <nc r="G70">
      <v>22.5</v>
    </nc>
  </rcc>
  <rcc rId="13732" sId="4" numFmtId="4">
    <nc r="D179">
      <v>1</v>
    </nc>
  </rcc>
  <rcc rId="13733" sId="4" numFmtId="4">
    <nc r="E179">
      <v>12</v>
    </nc>
  </rcc>
  <rcc rId="13734" sId="4" numFmtId="4">
    <nc r="F179">
      <v>1</v>
    </nc>
  </rcc>
  <rcc rId="13735" sId="4" numFmtId="4">
    <nc r="G179">
      <v>12</v>
    </nc>
  </rcc>
  <rcc rId="13736" sId="4" numFmtId="4">
    <oc r="D84">
      <v>1</v>
    </oc>
    <nc r="D84">
      <v>4</v>
    </nc>
  </rcc>
  <rcc rId="13737" sId="4">
    <oc r="E84">
      <v>8</v>
    </oc>
    <nc r="E84">
      <f>8+2.5+12+6</f>
    </nc>
  </rcc>
  <rcc rId="13738" sId="4" numFmtId="4">
    <oc r="F84">
      <v>1</v>
    </oc>
    <nc r="F84">
      <v>4</v>
    </nc>
  </rcc>
  <rcc rId="13739" sId="4" numFmtId="4">
    <oc r="G84">
      <v>8</v>
    </oc>
    <nc r="G84">
      <v>28.5</v>
    </nc>
  </rcc>
  <rcc rId="13740" sId="4" numFmtId="4">
    <nc r="D197">
      <v>1</v>
    </nc>
  </rcc>
  <rcc rId="13741" sId="4" numFmtId="4">
    <nc r="E197">
      <v>30</v>
    </nc>
  </rcc>
  <rcc rId="13742" sId="4" numFmtId="4">
    <nc r="F197">
      <v>1</v>
    </nc>
  </rcc>
  <rcc rId="13743" sId="4" numFmtId="4">
    <nc r="G197">
      <v>30</v>
    </nc>
  </rcc>
  <rcc rId="13744" sId="4" numFmtId="4">
    <oc r="D222">
      <v>1</v>
    </oc>
    <nc r="D222"/>
  </rcc>
  <rcc rId="13745" sId="4" numFmtId="4">
    <oc r="E222">
      <v>15</v>
    </oc>
    <nc r="E222"/>
  </rcc>
  <rcc rId="13746" sId="4" numFmtId="4">
    <oc r="F222">
      <v>1</v>
    </oc>
    <nc r="F222"/>
  </rcc>
  <rcc rId="13747" sId="4" numFmtId="4">
    <oc r="G222">
      <v>15</v>
    </oc>
    <nc r="G222"/>
  </rcc>
  <rcc rId="13748" sId="4" numFmtId="4">
    <oc r="D39">
      <v>7</v>
    </oc>
    <nc r="D39">
      <v>9</v>
    </nc>
  </rcc>
  <rcc rId="13749" sId="4">
    <oc r="E39">
      <f>10+10+15+8+15+10+8</f>
    </oc>
    <nc r="E39">
      <f>10+10+15+8+15+10+15+8+15</f>
    </nc>
  </rcc>
  <rcc rId="13750" sId="4" numFmtId="4">
    <oc r="F39">
      <v>7</v>
    </oc>
    <nc r="F39">
      <v>9</v>
    </nc>
  </rcc>
  <rcc rId="13751" sId="4" numFmtId="4">
    <oc r="G39">
      <v>76</v>
    </oc>
    <nc r="G39">
      <v>106</v>
    </nc>
  </rcc>
  <rcc rId="13752" sId="4" numFmtId="4">
    <oc r="D91">
      <v>9</v>
    </oc>
    <nc r="D91">
      <v>10</v>
    </nc>
  </rcc>
  <rcc rId="13753" sId="4">
    <oc r="E91">
      <f>10+12+8+40+5+7+5+12+5</f>
    </oc>
    <nc r="E91">
      <f>10+12+8+40+5+7+5+12+5+8</f>
    </nc>
  </rcc>
  <rcc rId="13754" sId="4" numFmtId="4">
    <oc r="F91">
      <v>9</v>
    </oc>
    <nc r="F91">
      <v>10</v>
    </nc>
  </rcc>
  <rcc rId="13755" sId="4" numFmtId="4">
    <oc r="G91">
      <f>10+12+8+40+5+7+5+12+5</f>
    </oc>
    <nc r="G91">
      <v>112</v>
    </nc>
  </rcc>
  <rcc rId="13756" sId="4" numFmtId="4">
    <oc r="D31">
      <v>5</v>
    </oc>
    <nc r="D31">
      <v>6</v>
    </nc>
  </rcc>
  <rcc rId="13757" sId="4">
    <oc r="E31">
      <f>12+30+10+5+15</f>
    </oc>
    <nc r="E31">
      <f>12+30+10+5+15+40</f>
    </nc>
  </rcc>
  <rcc rId="13758" sId="4" numFmtId="4">
    <oc r="F31">
      <v>5</v>
    </oc>
    <nc r="F31">
      <v>6</v>
    </nc>
  </rcc>
  <rcc rId="13759" sId="4" numFmtId="4">
    <oc r="G31">
      <v>72</v>
    </oc>
    <nc r="G31">
      <v>112</v>
    </nc>
  </rcc>
  <rcc rId="13760" sId="4" numFmtId="4">
    <oc r="D68">
      <v>6</v>
    </oc>
    <nc r="D68">
      <v>7</v>
    </nc>
  </rcc>
  <rcc rId="13761" sId="4">
    <oc r="E68">
      <f>15+5+5+15+6+15</f>
    </oc>
    <nc r="E68">
      <f>15+5+5+15+6+15+30</f>
    </nc>
  </rcc>
  <rcc rId="13762" sId="4" numFmtId="4">
    <oc r="F68">
      <v>6</v>
    </oc>
    <nc r="F68">
      <v>7</v>
    </nc>
  </rcc>
  <rcc rId="13763" sId="4" numFmtId="4">
    <oc r="G68">
      <v>61</v>
    </oc>
    <nc r="G68">
      <v>91</v>
    </nc>
  </rcc>
  <rcc rId="13764" sId="4" numFmtId="4">
    <nc r="D215">
      <v>1</v>
    </nc>
  </rcc>
  <rcc rId="13765" sId="4" numFmtId="4">
    <nc r="E215">
      <v>20</v>
    </nc>
  </rcc>
  <rcc rId="13766" sId="4" numFmtId="4">
    <nc r="F215">
      <v>1</v>
    </nc>
  </rcc>
  <rcc rId="13767" sId="4" numFmtId="4">
    <nc r="G215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4077" sId="3" numFmtId="4">
    <oc r="D122">
      <v>3</v>
    </oc>
    <nc r="D122">
      <v>4</v>
    </nc>
  </rcc>
  <rcc rId="14078" sId="3">
    <oc r="E122">
      <f>4.4+25+10</f>
    </oc>
    <nc r="E122">
      <f>4.4+25+10+10</f>
    </nc>
  </rcc>
  <rcc rId="14079" sId="3" numFmtId="4">
    <oc r="F122">
      <v>3</v>
    </oc>
    <nc r="F122">
      <v>4</v>
    </nc>
  </rcc>
  <rcc rId="14080" sId="3" numFmtId="4">
    <oc r="G122">
      <v>39.4</v>
    </oc>
    <nc r="G122">
      <v>49.4</v>
    </nc>
  </rcc>
  <rcc rId="14081" sId="4" numFmtId="4">
    <oc r="G181">
      <v>73</v>
    </oc>
    <nc r="G181">
      <v>83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3860" sId="4" numFmtId="4">
    <nc r="D185">
      <v>1</v>
    </nc>
  </rcc>
  <rcc rId="13861" sId="4" numFmtId="4">
    <nc r="E185">
      <v>8</v>
    </nc>
  </rcc>
  <rcc rId="13862" sId="4" numFmtId="4">
    <nc r="F185">
      <v>1</v>
    </nc>
  </rcc>
  <rcc rId="13863" sId="4" numFmtId="4">
    <nc r="G185">
      <v>8</v>
    </nc>
  </rcc>
  <rcc rId="13864" sId="4" numFmtId="4">
    <oc r="D79">
      <v>2</v>
    </oc>
    <nc r="D79">
      <v>3</v>
    </nc>
  </rcc>
  <rcc rId="13865" sId="4">
    <oc r="E79">
      <f>10+15</f>
    </oc>
    <nc r="E79">
      <f>10+15+7</f>
    </nc>
  </rcc>
  <rcc rId="13866" sId="4" numFmtId="4">
    <oc r="F79">
      <v>2</v>
    </oc>
    <nc r="F79">
      <v>3</v>
    </nc>
  </rcc>
  <rcc rId="13867" sId="4" numFmtId="4">
    <oc r="G79">
      <f>10+15</f>
    </oc>
    <nc r="G79">
      <v>32</v>
    </nc>
  </rcc>
  <rcc rId="13868" sId="3" numFmtId="4">
    <oc r="D31">
      <v>1</v>
    </oc>
    <nc r="D31">
      <v>2</v>
    </nc>
  </rcc>
  <rcc rId="13869" sId="3" numFmtId="4">
    <oc r="E31">
      <v>60</v>
    </oc>
    <nc r="E31">
      <f>60+500</f>
    </nc>
  </rcc>
  <rcc rId="13870" sId="3" numFmtId="4">
    <oc r="F31">
      <v>1</v>
    </oc>
    <nc r="F31">
      <v>2</v>
    </nc>
  </rcc>
  <rcc rId="13871" sId="3" numFmtId="4">
    <oc r="G31">
      <v>60</v>
    </oc>
    <nc r="G31">
      <v>560</v>
    </nc>
  </rcc>
  <rcc rId="13872" sId="3">
    <oc r="D36">
      <v>9</v>
    </oc>
    <nc r="D36">
      <v>10</v>
    </nc>
  </rcc>
  <rcc rId="13873" sId="3">
    <oc r="E36">
      <f>50+150+18+160+90+200+75+15+150</f>
    </oc>
    <nc r="E36">
      <f>50+150+18+160+90+200+75+15+150+50</f>
    </nc>
  </rcc>
  <rcc rId="13874" sId="3">
    <oc r="F36">
      <v>9</v>
    </oc>
    <nc r="F36">
      <v>10</v>
    </nc>
  </rcc>
  <rcc rId="13875" sId="3">
    <oc r="G36">
      <v>908</v>
    </oc>
    <nc r="G36">
      <v>958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4002" sId="4" numFmtId="4">
    <oc r="D124">
      <v>2</v>
    </oc>
    <nc r="D124">
      <v>3</v>
    </nc>
  </rcc>
  <rcc rId="14003" sId="4">
    <oc r="E124">
      <f>5+5</f>
    </oc>
    <nc r="E124">
      <f>5+5+5</f>
    </nc>
  </rcc>
  <rcc rId="14004" sId="4" numFmtId="4">
    <oc r="F124">
      <v>2</v>
    </oc>
    <nc r="F124">
      <v>3</v>
    </nc>
  </rcc>
  <rcc rId="14005" sId="4" numFmtId="4">
    <oc r="G124">
      <f>5+5</f>
    </oc>
    <nc r="G124">
      <v>15</v>
    </nc>
  </rcc>
  <rcc rId="14006" sId="4" numFmtId="4">
    <oc r="D38">
      <v>11</v>
    </oc>
    <nc r="D38">
      <v>12</v>
    </nc>
  </rcc>
  <rcc rId="14007" sId="4">
    <oc r="E38">
      <f>7+12+15+13+13+12+7+5+35+15+2.2</f>
    </oc>
    <nc r="E38">
      <f>7+12+15+13+13+12+7+5+35+15+2.2+8</f>
    </nc>
  </rcc>
  <rcc rId="14008" sId="4" numFmtId="4">
    <oc r="F38">
      <v>11</v>
    </oc>
    <nc r="F38">
      <v>12</v>
    </nc>
  </rcc>
  <rcc rId="14009" sId="4" numFmtId="4">
    <oc r="G38">
      <v>136.19999999999999</v>
    </oc>
    <nc r="G38">
      <v>144.19999999999999</v>
    </nc>
  </rcc>
  <rcc rId="14010" sId="4" numFmtId="4">
    <oc r="D141">
      <v>2</v>
    </oc>
    <nc r="D141">
      <v>3</v>
    </nc>
  </rcc>
  <rcc rId="14011" sId="4">
    <oc r="E141">
      <f>12+3</f>
    </oc>
    <nc r="E141">
      <f>12+3+15</f>
    </nc>
  </rcc>
  <rcc rId="14012" sId="4" numFmtId="4">
    <oc r="F141">
      <v>2</v>
    </oc>
    <nc r="F141">
      <v>3</v>
    </nc>
  </rcc>
  <rcc rId="14013" sId="4" numFmtId="4">
    <oc r="G141">
      <f>12+3</f>
    </oc>
    <nc r="G141">
      <v>30</v>
    </nc>
  </rcc>
  <rcc rId="14014" sId="4" numFmtId="4">
    <oc r="D172">
      <v>7</v>
    </oc>
    <nc r="D172">
      <v>8</v>
    </nc>
  </rcc>
  <rcc rId="14015" sId="4">
    <oc r="E172">
      <f>5+5+5+3+3+3+15</f>
    </oc>
    <nc r="E172">
      <f>5+5+5+3+3+3+15+5</f>
    </nc>
  </rcc>
  <rcc rId="14016" sId="4" numFmtId="4">
    <oc r="F172">
      <v>7</v>
    </oc>
    <nc r="F172">
      <v>8</v>
    </nc>
  </rcc>
  <rcc rId="14017" sId="4" numFmtId="4">
    <oc r="G172">
      <v>39</v>
    </oc>
    <nc r="G172">
      <v>44</v>
    </nc>
  </rcc>
  <rcc rId="14018" sId="4" numFmtId="4">
    <oc r="D37">
      <v>12</v>
    </oc>
    <nc r="D37">
      <v>13</v>
    </nc>
  </rcc>
  <rcc rId="14019" sId="4">
    <oc r="E37">
      <f>10+10+15+6+2+4+3+2+2.5+3+5+10</f>
    </oc>
    <nc r="E37">
      <f>10+10+15+6+2+4+3+2+2.5+3+5+10+15</f>
    </nc>
  </rcc>
  <rcc rId="14020" sId="4" numFmtId="4">
    <oc r="F37">
      <v>12</v>
    </oc>
    <nc r="F37">
      <v>13</v>
    </nc>
  </rcc>
  <rcc rId="14021" sId="4" numFmtId="4">
    <oc r="G37">
      <f>10+10+15+6+2+4+3+2+2.5+3+5+10</f>
    </oc>
    <nc r="G37">
      <v>87.5</v>
    </nc>
  </rcc>
  <rcc rId="14022" sId="3" numFmtId="4">
    <oc r="D110">
      <v>6</v>
    </oc>
    <nc r="D110">
      <v>7</v>
    </nc>
  </rcc>
  <rcc rId="14023" sId="3">
    <oc r="E110">
      <f>30+60+20+10+20+15</f>
    </oc>
    <nc r="E110">
      <f>30+60+20+10+20+15+15</f>
    </nc>
  </rcc>
  <rcc rId="14024" sId="3" numFmtId="4">
    <oc r="F110">
      <v>6</v>
    </oc>
    <nc r="F110">
      <v>7</v>
    </nc>
  </rcc>
  <rcc rId="14025" sId="3" numFmtId="4">
    <oc r="G110">
      <v>155</v>
    </oc>
    <nc r="G110">
      <v>170</v>
    </nc>
  </rcc>
  <rcc rId="14026" sId="3" numFmtId="4">
    <nc r="D86">
      <v>1</v>
    </nc>
  </rcc>
  <rcc rId="14027" sId="3" numFmtId="4">
    <nc r="E86">
      <v>15</v>
    </nc>
  </rcc>
  <rcc rId="14028" sId="3" numFmtId="4">
    <nc r="F86">
      <v>1</v>
    </nc>
  </rcc>
  <rcc rId="14029" sId="3" numFmtId="4">
    <nc r="G86">
      <v>15</v>
    </nc>
  </rcc>
  <rcc rId="14030" sId="3" numFmtId="4">
    <oc r="D210">
      <v>6</v>
    </oc>
    <nc r="D210">
      <v>7</v>
    </nc>
  </rcc>
  <rcc rId="14031" sId="3">
    <oc r="E210">
      <f>10+200+75+10+15+80</f>
    </oc>
    <nc r="E210">
      <f>10+200+75+10+15+80+15</f>
    </nc>
  </rcc>
  <rcc rId="14032" sId="3" numFmtId="4">
    <oc r="F210">
      <v>6</v>
    </oc>
    <nc r="F210">
      <v>7</v>
    </nc>
  </rcc>
  <rcc rId="14033" sId="3" numFmtId="4">
    <oc r="G210">
      <v>390</v>
    </oc>
    <nc r="G210">
      <v>405</v>
    </nc>
  </rcc>
  <rcc rId="14034" sId="3" numFmtId="4">
    <oc r="D58">
      <v>4</v>
    </oc>
    <nc r="D58">
      <v>5</v>
    </nc>
  </rcc>
  <rcc rId="14035" sId="3">
    <oc r="E58">
      <f>160+80+240+15</f>
    </oc>
    <nc r="E58">
      <f>160+80+240+15+15</f>
    </nc>
  </rcc>
  <rcc rId="14036" sId="3" numFmtId="4">
    <oc r="F58">
      <v>4</v>
    </oc>
    <nc r="F58">
      <v>5</v>
    </nc>
  </rcc>
  <rcc rId="14037" sId="3" numFmtId="4">
    <oc r="G58">
      <f>160+80+240+15</f>
    </oc>
    <nc r="G58">
      <v>510</v>
    </nc>
  </rcc>
  <rcc rId="14038" sId="3" numFmtId="4">
    <oc r="D170">
      <v>1</v>
    </oc>
    <nc r="D170">
      <v>2</v>
    </nc>
  </rcc>
  <rcc rId="14039" sId="3" numFmtId="4">
    <oc r="E170">
      <v>15</v>
    </oc>
    <nc r="E170">
      <f>15+6</f>
    </nc>
  </rcc>
  <rcc rId="14040" sId="3" numFmtId="4">
    <oc r="F170">
      <v>1</v>
    </oc>
    <nc r="F170">
      <v>2</v>
    </nc>
  </rcc>
  <rcc rId="14041" sId="3" numFmtId="4">
    <oc r="G170">
      <v>15</v>
    </oc>
    <nc r="G170">
      <v>21</v>
    </nc>
  </rcc>
  <rcc rId="14042" sId="4" numFmtId="4">
    <oc r="D64">
      <v>33</v>
    </oc>
    <nc r="D64">
      <v>34</v>
    </nc>
  </rcc>
  <rcc rId="14043" sId="4">
    <oc r="E64">
      <f>10+7+12+8+15+15+4+12+8+8+7+12+7+15+6+6+8+7+5+15+10+3+10+10+5+5+15+5+20+14+15+15+10</f>
    </oc>
    <nc r="E64">
      <f>10+7+12+8+15+15+4+12+8+8+7+12+7+15+6+6+8+7+5+15+10+3+10+10+5+5+15+5+20+14+15+15+10+15</f>
    </nc>
  </rcc>
  <rcc rId="14044" sId="4" numFmtId="4">
    <oc r="F64">
      <v>33</v>
    </oc>
    <nc r="F64">
      <v>34</v>
    </nc>
  </rcc>
  <rcc rId="14045" sId="4" numFmtId="4">
    <oc r="G64">
      <v>324</v>
    </oc>
    <nc r="G64">
      <v>339</v>
    </nc>
  </rcc>
  <rcc rId="14046" sId="1">
    <oc r="B256" t="inlineStr">
      <is>
        <t>дошел№ 783</t>
      </is>
    </oc>
    <nc r="B256" t="inlineStr">
      <is>
        <t>дошел№ 916 не занес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fmt sheetId="4" sqref="F1" start="0" length="0">
    <dxf>
      <fill>
        <patternFill patternType="none">
          <bgColor indexed="65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13882" sId="3" numFmtId="4">
    <nc r="D184">
      <v>1</v>
    </nc>
  </rcc>
  <rcc rId="13883" sId="3" numFmtId="4">
    <nc r="E184">
      <v>10</v>
    </nc>
  </rcc>
  <rcc rId="13884" sId="3" numFmtId="4">
    <nc r="F184">
      <v>1</v>
    </nc>
  </rcc>
  <rcc rId="13885" sId="3" numFmtId="4">
    <nc r="G184">
      <v>10</v>
    </nc>
  </rcc>
  <rcc rId="13886" sId="3" numFmtId="4">
    <oc r="D111">
      <v>2</v>
    </oc>
    <nc r="D111">
      <v>3</v>
    </nc>
  </rcc>
  <rcc rId="13887" sId="3">
    <oc r="E111">
      <f>15+25</f>
    </oc>
    <nc r="E111">
      <f>15+25+15</f>
    </nc>
  </rcc>
  <rcc rId="13888" sId="3" numFmtId="4">
    <oc r="F111">
      <v>2</v>
    </oc>
    <nc r="F111">
      <v>3</v>
    </nc>
  </rcc>
  <rcc rId="13889" sId="3" numFmtId="4">
    <oc r="G111">
      <f>15+25</f>
    </oc>
    <nc r="G111">
      <v>55</v>
    </nc>
  </rcc>
  <rcc rId="13890" sId="4" numFmtId="4">
    <oc r="D75">
      <v>8</v>
    </oc>
    <nc r="D75">
      <v>9</v>
    </nc>
  </rcc>
  <rcc rId="13891" sId="4">
    <oc r="E75">
      <f>5+10+7+5+7+15+5+15</f>
    </oc>
    <nc r="E75">
      <f>5+10+7+5+7+15+5+15+5</f>
    </nc>
  </rcc>
  <rcc rId="13892" sId="4" numFmtId="4">
    <oc r="F75">
      <v>8</v>
    </oc>
    <nc r="F75">
      <v>9</v>
    </nc>
  </rcc>
  <rcc rId="13893" sId="4" numFmtId="4">
    <oc r="G75">
      <v>69</v>
    </oc>
    <nc r="G75">
      <v>74</v>
    </nc>
  </rcc>
  <rcc rId="13894" sId="4" numFmtId="4">
    <oc r="D115">
      <v>3</v>
    </oc>
    <nc r="D115">
      <v>4</v>
    </nc>
  </rcc>
  <rcc rId="13895" sId="4">
    <oc r="E115">
      <f>5+5+13.5</f>
    </oc>
    <nc r="E115">
      <f>5+5+13.5+7.3</f>
    </nc>
  </rcc>
  <rcc rId="13896" sId="4" numFmtId="4">
    <oc r="F115">
      <v>3</v>
    </oc>
    <nc r="F115">
      <v>4</v>
    </nc>
  </rcc>
  <rcc rId="13897" sId="4" numFmtId="4">
    <oc r="G115">
      <f>5+5+13.5</f>
    </oc>
    <nc r="G115">
      <v>30.8</v>
    </nc>
  </rcc>
  <rcc rId="13898" sId="4" numFmtId="4">
    <oc r="D105">
      <v>11</v>
    </oc>
    <nc r="D105">
      <v>14</v>
    </nc>
  </rcc>
  <rcc rId="13899" sId="4">
    <oc r="E105">
      <f>5+70+5+13+5+5+8+10+5+8+15</f>
    </oc>
    <nc r="E105">
      <f>5+70+5+13+5+5+8+10+5+8+15+12+5+5</f>
    </nc>
  </rcc>
  <rcc rId="13900" sId="4" numFmtId="4">
    <oc r="F105">
      <v>11</v>
    </oc>
    <nc r="F105">
      <v>14</v>
    </nc>
  </rcc>
  <rcc rId="13901" sId="4" numFmtId="4">
    <oc r="G105">
      <v>149</v>
    </oc>
    <nc r="G105">
      <v>191</v>
    </nc>
  </rcc>
  <rcc rId="13902" sId="4" numFmtId="4">
    <oc r="D102">
      <v>13</v>
    </oc>
    <nc r="D102">
      <v>14</v>
    </nc>
  </rcc>
  <rcc rId="13903" sId="4">
    <oc r="E102">
      <f>4+5+13+8+160+10+5+14+10+3+5+6+8</f>
    </oc>
    <nc r="E102">
      <f>4+5+13+8+160+10+5+14+10+3+5+6+8+3</f>
    </nc>
  </rcc>
  <rcc rId="13904" sId="4" numFmtId="4">
    <oc r="F102">
      <v>13</v>
    </oc>
    <nc r="F102">
      <v>14</v>
    </nc>
  </rcc>
  <rcc rId="13905" sId="4" numFmtId="4">
    <oc r="G102">
      <v>251</v>
    </oc>
    <nc r="G102">
      <v>254</v>
    </nc>
  </rcc>
  <rcc rId="13906" sId="4" numFmtId="4">
    <oc r="D36">
      <v>37</v>
    </oc>
    <nc r="D36">
      <v>40</v>
    </nc>
  </rcc>
  <rcc rId="13907" sId="4">
    <oc r="E36">
      <f>5+6+5+2+5+10+3+5+2+14+5+6+2+6+5+3+2.5+10+1+2+3+2+1.5+14+2.5+2+3+3+5+14.5+5+5+15+15+10+10+15</f>
    </oc>
    <nc r="E36">
      <f>5+6+5+2+5+10+3+5+2+14+5+6+2+6+5+3+2.5+10+1+2+3+2+1.5+14+2.5+2+3+3+5+14.5+5+5+15+15+10+10+15+3.5+7+2</f>
    </nc>
  </rcc>
  <rcc rId="13908" sId="4" numFmtId="4">
    <oc r="F36">
      <v>37</v>
    </oc>
    <nc r="F36">
      <v>40</v>
    </nc>
  </rcc>
  <rcc rId="13909" sId="4" numFmtId="4">
    <oc r="G36">
      <v>225</v>
    </oc>
    <nc r="G36">
      <f>5+6+5+2+5+10+3+5+2+14+5+6+2+6+5+3+2.5+10+1+2+3+2+1.5+14+2.5+2+3+3+5+14.5+5+5+15+15+10+10+15+3.5+7+2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2710" sId="4" numFmtId="4">
    <oc r="D106">
      <v>4</v>
    </oc>
    <nc r="D106">
      <v>5</v>
    </nc>
  </rcc>
  <rcc rId="12711" sId="4">
    <oc r="E106">
      <f>45+10+5+10</f>
    </oc>
    <nc r="E106">
      <f>45+10+5+10+4</f>
    </nc>
  </rcc>
  <rcc rId="12712" sId="4" numFmtId="4">
    <oc r="F106">
      <v>4</v>
    </oc>
    <nc r="F106">
      <v>5</v>
    </nc>
  </rcc>
  <rcc rId="12713" sId="4">
    <oc r="G106">
      <f>45+10+5+10</f>
    </oc>
    <nc r="G106">
      <f>45+10+5+10+4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c rId="13350" sId="3" numFmtId="4">
    <oc r="D119">
      <v>4</v>
    </oc>
    <nc r="D119">
      <v>5</v>
    </nc>
  </rcc>
  <rcc rId="13351" sId="3">
    <oc r="E119">
      <f>15+250+670+150</f>
    </oc>
    <nc r="E119">
      <f>15+250+670+150+45</f>
    </nc>
  </rcc>
  <rcc rId="13352" sId="3" numFmtId="4">
    <oc r="D110">
      <v>3</v>
    </oc>
    <nc r="D110">
      <v>5</v>
    </nc>
  </rcc>
  <rcc rId="13353" sId="3">
    <oc r="E110">
      <f>30+60+20</f>
    </oc>
    <nc r="E110">
      <f>30+60+20+10+20</f>
    </nc>
  </rcc>
  <rcc rId="13354" sId="4" numFmtId="4">
    <oc r="D76">
      <v>1</v>
    </oc>
    <nc r="D76">
      <v>2</v>
    </nc>
  </rcc>
  <rcc rId="13355" sId="4" numFmtId="4">
    <oc r="E76">
      <v>3.5</v>
    </oc>
    <nc r="E76">
      <f>3.5+5</f>
    </nc>
  </rcc>
  <rcc rId="13356" sId="4" numFmtId="4">
    <oc r="D95">
      <v>1</v>
    </oc>
    <nc r="D95">
      <v>3</v>
    </nc>
  </rcc>
  <rcc rId="13357" sId="4">
    <oc r="E95">
      <v>6</v>
    </oc>
    <nc r="E95">
      <f>6+15+10</f>
    </nc>
  </rcc>
  <rcc rId="13358" sId="4">
    <oc r="D33">
      <v>23</v>
    </oc>
    <nc r="D33">
      <v>25</v>
    </nc>
  </rcc>
  <rcc rId="13359" sId="4">
    <oc r="E33">
      <f>5.5+15+6+4+10+10+6+6+15+10+8+5+6+5+4+12+12+5+5+5+11+14+10</f>
    </oc>
    <nc r="E33">
      <f>5.5+15+6+4+10+10+6+6+15+10+8+5+6+5+4+12+12+5+5+5+11+14+10+8+12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14094" sId="4" numFmtId="4">
    <nc r="D20">
      <v>0</v>
    </nc>
  </rcc>
  <rcc rId="14095" sId="4" numFmtId="4">
    <nc r="D21">
      <v>0</v>
    </nc>
  </rcc>
  <rcc rId="14096" sId="4" numFmtId="4">
    <nc r="D22">
      <v>0</v>
    </nc>
  </rcc>
  <rcc rId="14097" sId="4" numFmtId="4">
    <nc r="D23">
      <v>0</v>
    </nc>
  </rcc>
  <rcc rId="14098" sId="4" numFmtId="4">
    <nc r="D24">
      <v>0</v>
    </nc>
  </rcc>
  <rcc rId="14099" sId="4" numFmtId="4">
    <nc r="D25">
      <v>0</v>
    </nc>
  </rcc>
  <rcc rId="14100" sId="4">
    <nc r="D26">
      <v>0</v>
    </nc>
  </rcc>
  <rcc rId="14101" sId="4" numFmtId="4">
    <nc r="E20">
      <v>0</v>
    </nc>
  </rcc>
  <rcc rId="14102" sId="4" numFmtId="4">
    <nc r="E21">
      <v>0</v>
    </nc>
  </rcc>
  <rcc rId="14103" sId="4" numFmtId="4">
    <nc r="E22">
      <v>0</v>
    </nc>
  </rcc>
  <rcc rId="14104" sId="4" numFmtId="4">
    <nc r="E23">
      <v>0</v>
    </nc>
  </rcc>
  <rcc rId="14105" sId="4" numFmtId="4">
    <nc r="E24">
      <v>0</v>
    </nc>
  </rcc>
  <rcc rId="14106" sId="4" numFmtId="4">
    <nc r="E25">
      <v>0</v>
    </nc>
  </rcc>
  <rcc rId="14107" sId="4" odxf="1" dxf="1">
    <nc r="E26">
      <v>0</v>
    </nc>
    <odxf/>
    <ndxf/>
  </rcc>
  <rcc rId="14108" sId="4" numFmtId="4">
    <nc r="F20">
      <v>0</v>
    </nc>
  </rcc>
  <rcc rId="14109" sId="4" numFmtId="4">
    <nc r="F21">
      <v>0</v>
    </nc>
  </rcc>
  <rcc rId="14110" sId="4" numFmtId="4">
    <nc r="F22">
      <v>0</v>
    </nc>
  </rcc>
  <rcc rId="14111" sId="4" numFmtId="4">
    <nc r="F23">
      <v>0</v>
    </nc>
  </rcc>
  <rcc rId="14112" sId="4" numFmtId="4">
    <nc r="F24">
      <v>0</v>
    </nc>
  </rcc>
  <rcc rId="14113" sId="4" numFmtId="4">
    <nc r="F25">
      <v>0</v>
    </nc>
  </rcc>
  <rcc rId="14114" sId="4" odxf="1" dxf="1">
    <nc r="F26">
      <v>0</v>
    </nc>
    <odxf/>
    <ndxf/>
  </rcc>
  <rcc rId="14115" sId="4" numFmtId="4">
    <nc r="G20">
      <v>0</v>
    </nc>
  </rcc>
  <rcc rId="14116" sId="4" numFmtId="4">
    <nc r="G21">
      <v>0</v>
    </nc>
  </rcc>
  <rcc rId="14117" sId="4" numFmtId="4">
    <nc r="G22">
      <v>0</v>
    </nc>
  </rcc>
  <rcc rId="14118" sId="4" numFmtId="4">
    <nc r="G23">
      <v>0</v>
    </nc>
  </rcc>
  <rcc rId="14119" sId="4" numFmtId="4">
    <nc r="G24">
      <v>0</v>
    </nc>
  </rcc>
  <rcc rId="14120" sId="4" numFmtId="4">
    <nc r="G25">
      <v>0</v>
    </nc>
  </rcc>
  <rcc rId="14121" sId="4" odxf="1" dxf="1">
    <nc r="G26">
      <v>0</v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is rId="13391" sheetId="7" name="[май Сводная по поданным заявкам и заключенным договорам с присоединенной мощностью за май_2014.xlsx]Лист3" sheetPosition="6"/>
  <ris rId="13392" sheetId="8" name="[май Сводная по поданным заявкам и заключенным договорам с присоединенной мощностью за май_2014.xlsx]Лист4" sheetPosition="7"/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13439" sId="3" numFmtId="4">
    <oc r="F119">
      <v>4</v>
    </oc>
    <nc r="F119">
      <v>5</v>
    </nc>
  </rcc>
  <rcc rId="13440" sId="3">
    <oc r="G119">
      <f>15+250+670+150</f>
    </oc>
    <nc r="G119">
      <f>15+250+670+150+45</f>
    </nc>
  </rcc>
  <rcc rId="13441" sId="3" numFmtId="4">
    <oc r="F110">
      <v>3</v>
    </oc>
    <nc r="F110">
      <v>5</v>
    </nc>
  </rcc>
  <rcc rId="13442" sId="3" numFmtId="4">
    <oc r="G110">
      <v>110</v>
    </oc>
    <nc r="G110">
      <f>30+60+20+10+20</f>
    </nc>
  </rcc>
  <rcc rId="13443" sId="4" numFmtId="4">
    <oc r="F95">
      <v>1</v>
    </oc>
    <nc r="F95">
      <v>3</v>
    </nc>
  </rcc>
  <rcc rId="13444" sId="4" numFmtId="4">
    <oc r="G95">
      <v>6</v>
    </oc>
    <nc r="G95">
      <f>6+15+10</f>
    </nc>
  </rcc>
  <rcc rId="13445" sId="4" odxf="1" dxf="1">
    <oc r="F33">
      <v>23</v>
    </oc>
    <nc r="F33">
      <v>25</v>
    </nc>
    <odxf/>
    <ndxf/>
  </rcc>
  <rcc rId="13446" sId="4" odxf="1" dxf="1">
    <oc r="G33">
      <v>189.5</v>
    </oc>
    <nc r="G33">
      <f>5.5+15+6+4+10+10+6+6+15+10+8+5+6+5+4+12+12+5+5+5+11+14+10+8+12</f>
    </nc>
    <odxf/>
    <ndxf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13944" sId="3" numFmtId="4">
    <oc r="D112">
      <v>4</v>
    </oc>
    <nc r="D112">
      <v>5</v>
    </nc>
  </rcc>
  <rcc rId="13945" sId="3">
    <oc r="E112">
      <f>40+7+50+35</f>
    </oc>
    <nc r="E112">
      <f>40+7+50+35+10</f>
    </nc>
  </rcc>
  <rcc rId="13946" sId="3" numFmtId="4">
    <oc r="F112">
      <v>4</v>
    </oc>
    <nc r="F112">
      <v>5</v>
    </nc>
  </rcc>
  <rcc rId="13947" sId="3" numFmtId="4">
    <oc r="G112">
      <v>132</v>
    </oc>
    <nc r="G112">
      <v>142</v>
    </nc>
  </rcc>
  <rcc rId="13948" sId="3" numFmtId="4">
    <nc r="D79">
      <v>1</v>
    </nc>
  </rcc>
  <rcc rId="13949" sId="3" numFmtId="4">
    <nc r="E79">
      <v>30</v>
    </nc>
  </rcc>
  <rcc rId="13950" sId="3" numFmtId="4">
    <nc r="F79">
      <v>1</v>
    </nc>
  </rcc>
  <rcc rId="13951" sId="3" numFmtId="4">
    <nc r="G79">
      <v>30</v>
    </nc>
  </rcc>
  <rcc rId="13952" sId="3" numFmtId="4">
    <nc r="D171">
      <v>2</v>
    </nc>
  </rcc>
  <rcc rId="13953" sId="3" numFmtId="4">
    <nc r="F171">
      <v>2</v>
    </nc>
  </rcc>
  <rcc rId="13954" sId="3">
    <nc r="E171">
      <f>120+60</f>
    </nc>
  </rcc>
  <rcc rId="13955" sId="3" numFmtId="4">
    <nc r="G171">
      <v>180</v>
    </nc>
  </rcc>
  <rcc rId="13956" sId="3">
    <oc r="D174">
      <v>1</v>
    </oc>
    <nc r="D174">
      <v>2</v>
    </nc>
  </rcc>
  <rcc rId="13957" sId="3">
    <oc r="E174">
      <v>15</v>
    </oc>
    <nc r="E174">
      <f>15+20</f>
    </nc>
  </rcc>
  <rcc rId="13958" sId="3">
    <oc r="F174">
      <v>1</v>
    </oc>
    <nc r="F174">
      <v>2</v>
    </nc>
  </rcc>
  <rcc rId="13959" sId="3">
    <oc r="G174">
      <v>15</v>
    </oc>
    <nc r="G174">
      <v>35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14053" sId="3">
    <oc r="C254" t="inlineStr">
      <is>
        <t>дошел№ 783</t>
      </is>
    </oc>
    <nc r="C254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13916" sId="4" numFmtId="4">
    <nc r="D32">
      <v>1</v>
    </nc>
  </rcc>
  <rcc rId="13917" sId="4" numFmtId="4">
    <nc r="E32">
      <v>15</v>
    </nc>
  </rcc>
  <rcc rId="13918" sId="4" numFmtId="4">
    <nc r="F32">
      <v>1</v>
    </nc>
  </rcc>
  <rcc rId="13919" sId="4" numFmtId="4">
    <nc r="G32">
      <v>15</v>
    </nc>
  </rcc>
  <rcc rId="13920" sId="4" numFmtId="4">
    <nc r="D144">
      <v>1</v>
    </nc>
  </rcc>
  <rcc rId="13921" sId="4" numFmtId="4">
    <nc r="E144">
      <v>12</v>
    </nc>
  </rcc>
  <rcc rId="13922" sId="4" numFmtId="4">
    <nc r="F144">
      <v>1</v>
    </nc>
  </rcc>
  <rcc rId="13923" sId="4" numFmtId="4">
    <nc r="G144">
      <v>12</v>
    </nc>
  </rcc>
  <rcc rId="13924" sId="4" numFmtId="4">
    <oc r="D36">
      <v>40</v>
    </oc>
    <nc r="D36">
      <v>41</v>
    </nc>
  </rcc>
  <rcc rId="13925" sId="4">
    <oc r="E36">
      <f>5+6+5+2+5+10+3+5+2+14+5+6+2+6+5+3+2.5+10+1+2+3+2+1.5+14+2.5+2+3+3+5+14.5+5+5+15+15+10+10+15+3.5+7+2</f>
    </oc>
    <nc r="E36">
      <f>5+6+5+2+5+10+3+5+2+14+5+6+2+6+5+3+2.5+10+1+2+3+2+1.5+14+2.5+2+3+3+5+14.5+5+5+15+15+10+10+15+4+3.5+7+2</f>
    </nc>
  </rcc>
  <rcc rId="13926" sId="4" numFmtId="4">
    <oc r="F36">
      <v>40</v>
    </oc>
    <nc r="F36">
      <v>41</v>
    </nc>
  </rcc>
  <rcc rId="13927" sId="4">
    <oc r="G36">
      <f>5+6+5+2+5+10+3+5+2+14+5+6+2+6+5+3+2.5+10+1+2+3+2+1.5+14+2.5+2+3+3+5+14.5+5+5+15+15+10+10+15+3.5+7+2</f>
    </oc>
    <nc r="G36">
      <f>5+6+5+2+5+10+3+5+2+14+5+6+2+6+5+3+2.5+10+1+2+3+2+1.5+14+2.5+2+3+3+5+14.5+5+5+15+15+10+10+15+4+3.5+7+2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13934" sId="4" numFmtId="4">
    <oc r="D105">
      <v>14</v>
    </oc>
    <nc r="D105">
      <v>15</v>
    </nc>
  </rcc>
  <rcc rId="13935" sId="4">
    <oc r="E105">
      <f>5+70+5+13+5+5+8+10+5+8+15+12+5+5</f>
    </oc>
    <nc r="E105">
      <f>5+70+5+13+5+5+8+10+5+8+15+12+5+5+10</f>
    </nc>
  </rcc>
  <rcc rId="13936" sId="4" numFmtId="4">
    <oc r="F105">
      <v>14</v>
    </oc>
    <nc r="F105">
      <v>15</v>
    </nc>
  </rcc>
  <rcc rId="13937" sId="4" numFmtId="4">
    <oc r="G105">
      <v>191</v>
    </oc>
    <nc r="G105">
      <v>181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12758" sId="3" numFmtId="4">
    <oc r="D118">
      <v>13</v>
    </oc>
    <nc r="D118">
      <v>14</v>
    </nc>
  </rcc>
  <rcc rId="12759" sId="3">
    <oc r="E118">
      <f>360+15+320+20+155+360+80+60+15+54+80+50+10</f>
    </oc>
    <nc r="E118">
      <f>360+15+320+20+155+360+80+60+15+54+80+50+10+10</f>
    </nc>
  </rcc>
  <rcc rId="12760" sId="3" numFmtId="4">
    <oc r="F118">
      <v>13</v>
    </oc>
    <nc r="F118">
      <v>14</v>
    </nc>
  </rcc>
  <rcc rId="12761" sId="3">
    <oc r="G118">
      <f>360+15+320+20+155+360+80+60+15+54+80+50+10</f>
    </oc>
    <nc r="G118">
      <f>360+15+320+20+155+360+80+60+15+54+80+50+10+10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13326" sId="4" numFmtId="4">
    <oc r="G68">
      <v>46</v>
    </oc>
    <nc r="G68">
      <v>40</v>
    </nc>
  </rcc>
  <rcc rId="13327" sId="4" numFmtId="4">
    <oc r="F68">
      <v>5</v>
    </oc>
    <nc r="F68">
      <v>4</v>
    </nc>
  </rcc>
  <rcc rId="13328" sId="4" numFmtId="4">
    <oc r="F237">
      <v>1</v>
    </oc>
    <nc r="F237"/>
  </rcc>
  <rcc rId="13329" sId="4" numFmtId="4">
    <oc r="G237">
      <v>15</v>
    </oc>
    <nc r="G237"/>
  </rcc>
  <rcc rId="13330" sId="4" numFmtId="4">
    <oc r="F98">
      <v>1</v>
    </oc>
    <nc r="F98"/>
  </rcc>
  <rcc rId="13331" sId="4" numFmtId="4">
    <oc r="G98">
      <v>7</v>
    </oc>
    <nc r="G98"/>
  </rcc>
  <rcc rId="13332" sId="4" numFmtId="4">
    <oc r="F110">
      <v>6</v>
    </oc>
    <nc r="F110">
      <v>5</v>
    </nc>
  </rcc>
  <rcc rId="13333" sId="4" numFmtId="4">
    <oc r="G110">
      <v>30</v>
    </oc>
    <nc r="G110">
      <v>23</v>
    </nc>
  </rcc>
  <rcc rId="13334" sId="3" numFmtId="4">
    <oc r="F48">
      <v>8</v>
    </oc>
    <nc r="F48">
      <v>7</v>
    </nc>
  </rcc>
  <rcc rId="13335" sId="3" numFmtId="4">
    <oc r="G48">
      <v>763</v>
    </oc>
    <nc r="G48">
      <v>733</v>
    </nc>
  </rcc>
  <rcc rId="13336" sId="3" numFmtId="4">
    <oc r="F148">
      <v>2</v>
    </oc>
    <nc r="F148">
      <v>1</v>
    </nc>
  </rcc>
  <rcc rId="13337" sId="3" numFmtId="4">
    <oc r="G148">
      <v>20</v>
    </oc>
    <nc r="G148">
      <v>10</v>
    </nc>
  </rcc>
  <rcc rId="13338" sId="3" numFmtId="4">
    <oc r="F210">
      <v>4</v>
    </oc>
    <nc r="F210">
      <v>3</v>
    </nc>
  </rcc>
  <rcc rId="13339" sId="3" numFmtId="4">
    <oc r="G210">
      <v>295</v>
    </oc>
    <nc r="G210">
      <v>285</v>
    </nc>
  </rcc>
  <rcc rId="13340" sId="3" numFmtId="4">
    <oc r="F234">
      <v>3</v>
    </oc>
    <nc r="F234">
      <v>2</v>
    </nc>
  </rcc>
  <rcc rId="13341" sId="3" numFmtId="4">
    <oc r="G234">
      <v>38</v>
    </oc>
    <nc r="G234">
      <v>23</v>
    </nc>
  </rcc>
  <rcc rId="13342" sId="3" numFmtId="4">
    <oc r="F89">
      <v>1</v>
    </oc>
    <nc r="F89"/>
  </rcc>
  <rcc rId="13343" sId="3" numFmtId="4">
    <oc r="G89">
      <v>15</v>
    </oc>
    <nc r="G89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12816" sId="3" numFmtId="4">
    <nc r="D203">
      <v>1</v>
    </nc>
  </rcc>
  <rcc rId="12817" sId="3" numFmtId="4">
    <nc r="E203">
      <v>10</v>
    </nc>
  </rcc>
  <rcc rId="12818" sId="3" numFmtId="4">
    <nc r="F203">
      <v>1</v>
    </nc>
  </rcc>
  <rcc rId="12819" sId="3" numFmtId="4">
    <nc r="G203">
      <v>10</v>
    </nc>
  </rcc>
  <rcc rId="12820" sId="3" numFmtId="4">
    <nc r="D217">
      <v>1</v>
    </nc>
  </rcc>
  <rcc rId="12821" sId="3" numFmtId="4">
    <nc r="E217">
      <v>320</v>
    </nc>
  </rcc>
  <rcc rId="12822" sId="3" numFmtId="4">
    <nc r="F217">
      <v>1</v>
    </nc>
  </rcc>
  <rcc rId="12823" sId="3" numFmtId="4">
    <nc r="G217">
      <v>320</v>
    </nc>
  </rcc>
  <rcc rId="12824" sId="3" numFmtId="4">
    <oc r="D108">
      <v>4</v>
    </oc>
    <nc r="D108">
      <v>5</v>
    </nc>
  </rcc>
  <rcc rId="12825" sId="3">
    <oc r="E108">
      <f>15+630+12+45</f>
    </oc>
    <nc r="E108">
      <f>15+630+12+45+30</f>
    </nc>
  </rcc>
  <rcc rId="12826" sId="3" numFmtId="4">
    <oc r="F108">
      <v>4</v>
    </oc>
    <nc r="F108">
      <v>5</v>
    </nc>
  </rcc>
  <rcc rId="12827" sId="3" numFmtId="4">
    <oc r="G108">
      <f>15+630+12+45</f>
    </oc>
    <nc r="G108">
      <v>732</v>
    </nc>
  </rcc>
  <rcc rId="12828" sId="3" numFmtId="4">
    <oc r="D48">
      <v>4</v>
    </oc>
    <nc r="D48">
      <v>5</v>
    </nc>
  </rcc>
  <rcc rId="12829" sId="3">
    <oc r="E48">
      <f>100+170+100+60</f>
    </oc>
    <nc r="E48">
      <f>100+170+100+60+160</f>
    </nc>
  </rcc>
  <rcc rId="12830" sId="3" numFmtId="4">
    <oc r="F48">
      <v>4</v>
    </oc>
    <nc r="F48">
      <v>5</v>
    </nc>
  </rcc>
  <rcc rId="12831" sId="3" numFmtId="4">
    <oc r="G48">
      <v>430</v>
    </oc>
    <nc r="G48">
      <v>590</v>
    </nc>
  </rcc>
  <rcc rId="12832" sId="3" numFmtId="4">
    <oc r="D123">
      <v>1</v>
    </oc>
    <nc r="D123">
      <v>2</v>
    </nc>
  </rcc>
  <rcc rId="12833" sId="3" numFmtId="4">
    <oc r="E123">
      <v>4.4000000000000004</v>
    </oc>
    <nc r="E123">
      <f>4.4+25</f>
    </nc>
  </rcc>
  <rcc rId="12834" sId="3" numFmtId="4">
    <oc r="F123">
      <v>1</v>
    </oc>
    <nc r="F123">
      <v>2</v>
    </nc>
  </rcc>
  <rcc rId="12835" sId="3" numFmtId="4">
    <oc r="G123">
      <v>4.4000000000000004</v>
    </oc>
    <nc r="G123">
      <v>29.4</v>
    </nc>
  </rcc>
  <rcc rId="12836" sId="4" numFmtId="4">
    <oc r="D121">
      <v>2</v>
    </oc>
    <nc r="D121">
      <v>3</v>
    </nc>
  </rcc>
  <rcc rId="12837" sId="4">
    <oc r="E121">
      <f>3+5</f>
    </oc>
    <nc r="E121">
      <f>3+5+7</f>
    </nc>
  </rcc>
  <rcc rId="12838" sId="4" numFmtId="4">
    <oc r="F121">
      <v>2</v>
    </oc>
    <nc r="F121">
      <v>3</v>
    </nc>
  </rcc>
  <rcc rId="12839" sId="4" numFmtId="4">
    <oc r="G121">
      <f>3+5</f>
    </oc>
    <nc r="G121">
      <v>15</v>
    </nc>
  </rcc>
  <rcc rId="12840" sId="4" numFmtId="4">
    <oc r="D36">
      <v>30</v>
    </oc>
    <nc r="D36">
      <v>31</v>
    </nc>
  </rcc>
  <rcc rId="12841" sId="4">
    <oc r="E36">
      <f>5+6+5+2+5+10+3+5+2+14+5+6+2+6+5+3+2.5+10+1+2+3+2+1.5+14+2.5+2+3+3+5+14.5</f>
    </oc>
    <nc r="E36">
      <f>5+6+5+2+5+10+3+5+2+14+5+6+2+6+5+3+2.5+10+1+2+3+2+1.5+14+2.5+2+3+3+5+14.5+5</f>
    </nc>
  </rcc>
  <rcc rId="12842" sId="4" numFmtId="4">
    <oc r="F36">
      <v>30</v>
    </oc>
    <nc r="F36">
      <v>31</v>
    </nc>
  </rcc>
  <rcc rId="12843" sId="4" numFmtId="4">
    <oc r="G36">
      <v>150</v>
    </oc>
    <nc r="G36">
      <v>155</v>
    </nc>
  </rcc>
  <rcc rId="12844" sId="4" numFmtId="4">
    <oc r="D145">
      <v>5</v>
    </oc>
    <nc r="D145">
      <v>6</v>
    </nc>
  </rcc>
  <rcc rId="12845" sId="4">
    <oc r="E145">
      <f>2+4.2+13+2.5+5</f>
    </oc>
    <nc r="E145">
      <f>2+4.2+13+2.5+5+2.5</f>
    </nc>
  </rcc>
  <rcc rId="12846" sId="4" numFmtId="4">
    <oc r="F145">
      <v>5</v>
    </oc>
    <nc r="F145">
      <v>6</v>
    </nc>
  </rcc>
  <rcc rId="12847" sId="4" numFmtId="4">
    <oc r="G145">
      <f>2+4.2+13+2.5+5</f>
    </oc>
    <nc r="G145">
      <v>29.2</v>
    </nc>
  </rcc>
  <rcc rId="12848" sId="4" numFmtId="4">
    <oc r="D176">
      <v>4</v>
    </oc>
    <nc r="D176">
      <v>5</v>
    </nc>
  </rcc>
  <rcc rId="12849" sId="4">
    <oc r="E176">
      <f>15+10+15+15</f>
    </oc>
    <nc r="E176">
      <f>15+10+15+15+10</f>
    </nc>
  </rcc>
  <rcc rId="12850" sId="4" numFmtId="4">
    <oc r="F176">
      <v>4</v>
    </oc>
    <nc r="F176">
      <v>5</v>
    </nc>
  </rcc>
  <rcc rId="12851" sId="4" numFmtId="4">
    <oc r="G176">
      <f>15+10+15+15</f>
    </oc>
    <nc r="G176">
      <v>65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3966" sId="3">
    <oc r="E171">
      <f>120+60</f>
    </oc>
    <nc r="E171">
      <f>20+60</f>
    </nc>
  </rcc>
  <rcc rId="13967" sId="3" numFmtId="4">
    <oc r="G171">
      <v>180</v>
    </oc>
    <nc r="G171">
      <v>80</v>
    </nc>
  </rcc>
  <rcc rId="13968" sId="3" numFmtId="4">
    <oc r="D79">
      <v>1</v>
    </oc>
    <nc r="D79">
      <v>2</v>
    </nc>
  </rcc>
  <rcc rId="13969" sId="3" numFmtId="4">
    <oc r="E79">
      <v>30</v>
    </oc>
    <nc r="E79">
      <f>30+15</f>
    </nc>
  </rcc>
  <rcc rId="13970" sId="3" numFmtId="4">
    <oc r="F79">
      <v>1</v>
    </oc>
    <nc r="F79">
      <v>2</v>
    </nc>
  </rcc>
  <rcc rId="13971" sId="3" numFmtId="4">
    <oc r="G79">
      <v>30</v>
    </oc>
    <nc r="G79">
      <v>45</v>
    </nc>
  </rcc>
  <rcc rId="13972" sId="4" numFmtId="4">
    <nc r="D165">
      <v>1</v>
    </nc>
  </rcc>
  <rcc rId="13973" sId="4" numFmtId="4">
    <nc r="E165">
      <v>11</v>
    </nc>
  </rcc>
  <rcc rId="13974" sId="4" numFmtId="4">
    <nc r="F165">
      <v>1</v>
    </nc>
  </rcc>
  <rcc rId="13975" sId="4" numFmtId="4">
    <nc r="G165">
      <v>11</v>
    </nc>
  </rcc>
  <rcc rId="13976" sId="4" numFmtId="4">
    <oc r="D153">
      <v>7</v>
    </oc>
    <nc r="D153">
      <v>8</v>
    </nc>
  </rcc>
  <rcc rId="13977" sId="4" numFmtId="4">
    <oc r="F153">
      <v>7</v>
    </oc>
    <nc r="F153">
      <v>8</v>
    </nc>
  </rcc>
  <rcc rId="13978" sId="4" numFmtId="4">
    <oc r="D182">
      <v>7</v>
    </oc>
    <nc r="D182">
      <v>8</v>
    </nc>
  </rcc>
  <rcc rId="13979" sId="4">
    <oc r="E182">
      <f>15+4+10+8+8+15+15</f>
    </oc>
    <nc r="E182">
      <f>15+4+10+8+8+15+15+8</f>
    </nc>
  </rcc>
  <rcc rId="13980" sId="4" numFmtId="4">
    <oc r="F182">
      <v>7</v>
    </oc>
    <nc r="F182">
      <v>8</v>
    </nc>
  </rcc>
  <rcc rId="13981" sId="4" numFmtId="4">
    <oc r="G182">
      <v>75</v>
    </oc>
    <nc r="G182">
      <v>73</v>
    </nc>
  </rcc>
  <rcc rId="13982" sId="4">
    <oc r="E153">
      <f>5+4+10+5+5+15+5</f>
    </oc>
    <nc r="E153">
      <f>5+4+10+5+5+15+5+6</f>
    </nc>
  </rcc>
  <rcc rId="13983" sId="4" numFmtId="4">
    <oc r="G153">
      <v>49</v>
    </oc>
    <nc r="G153">
      <v>55</v>
    </nc>
  </rcc>
  <rcc rId="13984" sId="4" numFmtId="4">
    <oc r="D64">
      <v>29</v>
    </oc>
    <nc r="D64">
      <v>33</v>
    </nc>
  </rcc>
  <rcc rId="13985" sId="4">
    <oc r="E64">
      <f>10+7+12+8+15+15+4+12+8+8+7+12+7+15+6+6+8+7+5+15+10+3+10+10+5+5+15+5+20</f>
    </oc>
    <nc r="E64">
      <f>10+7+12+8+15+15+4+12+8+8+7+12+7+15+6+6+8+7+5+15+10+3+10+10+5+5+15+5+20+14+15+15+10</f>
    </nc>
  </rcc>
  <rcc rId="13986" sId="4" numFmtId="4">
    <oc r="F64">
      <v>29</v>
    </oc>
    <nc r="F64">
      <v>33</v>
    </nc>
  </rcc>
  <rcc rId="13987" sId="4" numFmtId="4">
    <oc r="G64">
      <f>10+7+12+8+15+15+4+12+8+8+7+12+7+15+6+6+8+7+5+15+10+3+10+10+5+5+15+5+20</f>
    </oc>
    <nc r="G64">
      <v>324</v>
    </nc>
  </rcc>
  <rcc rId="13988" sId="3" numFmtId="4">
    <oc r="D50">
      <v>2</v>
    </oc>
    <nc r="D50">
      <v>3</v>
    </nc>
  </rcc>
  <rcc rId="13989" sId="3">
    <oc r="E50">
      <f>162+6</f>
    </oc>
    <nc r="E50">
      <f>162+6+15</f>
    </nc>
  </rcc>
  <rcc rId="13990" sId="3" numFmtId="4">
    <oc r="F50">
      <v>2</v>
    </oc>
    <nc r="F50">
      <v>3</v>
    </nc>
  </rcc>
  <rcc rId="13991" sId="3">
    <oc r="G50">
      <f>162+6</f>
    </oc>
    <nc r="G50">
      <f>162+6+15</f>
    </nc>
  </rcc>
  <rcc rId="13992" sId="4" numFmtId="4">
    <oc r="D65">
      <v>27</v>
    </oc>
    <nc r="D65">
      <v>28</v>
    </nc>
  </rcc>
  <rcc rId="13993" sId="4">
    <oc r="E65">
      <f>15+15+5+15+15+15+15+8+15+15+15+15+4.5+15+10+15+10+15+15+15+13+15+15+5+5+10+5</f>
    </oc>
    <nc r="E65">
      <f>15+15+5+15+15+15+15+8+15+15+15+15+4.5+15+10+15+10+15+15+15+13+15+15+5+5+10+5+15</f>
    </nc>
  </rcc>
  <rcc rId="13994" sId="4" numFmtId="4">
    <oc r="F65">
      <v>27</v>
    </oc>
    <nc r="F65">
      <v>28</v>
    </nc>
  </rcc>
  <rcc rId="13995" sId="4" numFmtId="4">
    <oc r="G65">
      <v>330.5</v>
    </oc>
    <nc r="G65">
      <v>345.5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42.xml><?xml version="1.0" encoding="utf-8"?>
<revisions xmlns="http://schemas.openxmlformats.org/spreadsheetml/2006/main" xmlns:r="http://schemas.openxmlformats.org/officeDocument/2006/relationships">
  <rcc rId="13537" sId="3" numFmtId="4">
    <oc r="F157">
      <v>20</v>
    </oc>
    <nc r="F157">
      <v>1</v>
    </nc>
  </rcc>
  <rcc rId="13538" sId="3" numFmtId="4">
    <oc r="G157">
      <v>1</v>
    </oc>
    <nc r="G157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43.xml><?xml version="1.0" encoding="utf-8"?>
<revisions xmlns="http://schemas.openxmlformats.org/spreadsheetml/2006/main" xmlns:r="http://schemas.openxmlformats.org/officeDocument/2006/relationships">
  <rcc rId="13459" sId="4" numFmtId="4">
    <oc r="F224">
      <v>5</v>
    </oc>
    <nc r="F224">
      <v>6</v>
    </nc>
  </rcc>
  <rcc rId="13460" sId="4" numFmtId="4">
    <oc r="G224">
      <v>54</v>
    </oc>
    <nc r="G224">
      <f>14+10+10+10+10+6</f>
    </nc>
  </rcc>
  <rcc rId="13461" sId="4" numFmtId="4">
    <oc r="F240">
      <v>3</v>
    </oc>
    <nc r="F240">
      <v>4</v>
    </nc>
  </rcc>
  <rcc rId="13462" sId="4" numFmtId="4">
    <oc r="G240">
      <v>24</v>
    </oc>
    <nc r="G240">
      <f>10+9+5+6</f>
    </nc>
  </rcc>
  <rcc rId="13463" sId="4" numFmtId="4">
    <oc r="F37">
      <v>11</v>
    </oc>
    <nc r="F37">
      <v>12</v>
    </nc>
  </rcc>
  <rcc rId="13464" sId="4" numFmtId="4">
    <oc r="G37">
      <v>62.5</v>
    </oc>
    <nc r="G37">
      <f>10+10+15+6+2+4+3+2+2.5+3+5+10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72.xml><?xml version="1.0" encoding="utf-8"?>
<revisions xmlns="http://schemas.openxmlformats.org/spreadsheetml/2006/main" xmlns:r="http://schemas.openxmlformats.org/officeDocument/2006/relationships">
  <rcc rId="13411" sId="3" numFmtId="4">
    <oc r="D123">
      <v>2</v>
    </oc>
    <nc r="D123">
      <v>3</v>
    </nc>
  </rcc>
  <rcc rId="13412" sId="3">
    <oc r="E123">
      <f>4.4+25</f>
    </oc>
    <nc r="E123">
      <f>4.4+25+10</f>
    </nc>
  </rcc>
  <rcc rId="13413" sId="3" numFmtId="4">
    <oc r="F123">
      <v>2</v>
    </oc>
    <nc r="F123">
      <v>3</v>
    </nc>
  </rcc>
  <rcc rId="13414" sId="3" numFmtId="4">
    <oc r="G123">
      <v>29.4</v>
    </oc>
    <nc r="G123">
      <v>39.4</v>
    </nc>
  </rcc>
  <rcc rId="13415" sId="3" numFmtId="4">
    <nc r="F89">
      <v>1</v>
    </nc>
  </rcc>
  <rcc rId="13416" sId="3" numFmtId="4">
    <nc r="G89">
      <v>15</v>
    </nc>
  </rcc>
  <rcc rId="13417" sId="4" numFmtId="4">
    <oc r="F110">
      <v>5</v>
    </oc>
    <nc r="F110">
      <v>6</v>
    </nc>
  </rcc>
  <rcc rId="13418" sId="4" numFmtId="4">
    <oc r="G110">
      <v>23</v>
    </oc>
    <nc r="G110">
      <f>6+4+5+5+3+7</f>
    </nc>
  </rcc>
  <rcc rId="13419" sId="4" numFmtId="4">
    <nc r="F98">
      <v>1</v>
    </nc>
  </rcc>
  <rcc rId="13420" sId="4" numFmtId="4">
    <nc r="G98">
      <v>7</v>
    </nc>
  </rcc>
  <rcc rId="13421" sId="4" numFmtId="4">
    <nc r="F237">
      <v>1</v>
    </nc>
  </rcc>
  <rcc rId="13422" sId="4" numFmtId="4">
    <nc r="G237">
      <v>15</v>
    </nc>
  </rcc>
  <rcc rId="13423" sId="4" numFmtId="4">
    <oc r="F68">
      <v>4</v>
    </oc>
    <nc r="F68">
      <v>5</v>
    </nc>
  </rcc>
  <rcc rId="13424" sId="4" numFmtId="4">
    <oc r="G68">
      <v>40</v>
    </oc>
    <nc r="G68">
      <f>15+5+5+15+6</f>
    </nc>
  </rcc>
  <rcc rId="13425" sId="3" numFmtId="4">
    <oc r="F234">
      <v>2</v>
    </oc>
    <nc r="F234">
      <v>3</v>
    </nc>
  </rcc>
  <rcc rId="13426" sId="3" numFmtId="4">
    <oc r="G234">
      <v>23</v>
    </oc>
    <nc r="G234">
      <f>10+13+15</f>
    </nc>
  </rcc>
  <rcc rId="13427" sId="3" numFmtId="4">
    <oc r="F48">
      <v>7</v>
    </oc>
    <nc r="F48">
      <v>8</v>
    </nc>
  </rcc>
  <rcc rId="13428" sId="3" numFmtId="4">
    <oc r="G48">
      <v>733</v>
    </oc>
    <nc r="G48">
      <f>100+170+100+60+160+63+80+30</f>
    </nc>
  </rcc>
  <rcc rId="13429" sId="3" numFmtId="4">
    <oc r="F148">
      <v>1</v>
    </oc>
    <nc r="F148">
      <v>2</v>
    </nc>
  </rcc>
  <rcc rId="13430" sId="3" odxf="1" dxf="1" numFmtId="4">
    <oc r="G148">
      <v>10</v>
    </oc>
    <nc r="G148">
      <f>10+10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3431" sId="3" numFmtId="4">
    <oc r="F210">
      <v>3</v>
    </oc>
    <nc r="F210">
      <v>4</v>
    </nc>
  </rcc>
  <rcc rId="13432" sId="3">
    <oc r="G210">
      <v>285</v>
    </oc>
    <nc r="G210">
      <f>10+200+75+10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13557" sId="3" numFmtId="4">
    <oc r="D210">
      <v>4</v>
    </oc>
    <nc r="D210">
      <v>5</v>
    </nc>
  </rcc>
  <rcc rId="13558" sId="3">
    <oc r="E210">
      <f>10+200+75+10</f>
    </oc>
    <nc r="E210">
      <f>10+200+75+10+15</f>
    </nc>
  </rcc>
  <rcc rId="13559" sId="3" numFmtId="4">
    <oc r="F210">
      <v>4</v>
    </oc>
    <nc r="F210">
      <v>5</v>
    </nc>
  </rcc>
  <rcc rId="13560" sId="3" numFmtId="4">
    <oc r="G210">
      <f>10+200+75+10</f>
    </oc>
    <nc r="G210">
      <v>310</v>
    </nc>
  </rcc>
  <rcc rId="13561" sId="3" numFmtId="4">
    <oc r="D48">
      <v>8</v>
    </oc>
    <nc r="D48">
      <v>9</v>
    </nc>
  </rcc>
  <rcc rId="13562" sId="3">
    <oc r="E48">
      <f>100+170+100+60+160+63+80+30</f>
    </oc>
    <nc r="E48">
      <f>100+170+100+60+160+63+80+30+50</f>
    </nc>
  </rcc>
  <rcc rId="13563" sId="3" numFmtId="4">
    <oc r="F48">
      <v>8</v>
    </oc>
    <nc r="F48">
      <v>9</v>
    </nc>
  </rcc>
  <rcc rId="13564" sId="3" numFmtId="4">
    <oc r="G48">
      <f>100+170+100+60+160+63+80+30</f>
    </oc>
    <nc r="G48">
      <v>813</v>
    </nc>
  </rcc>
  <rcc rId="13565" sId="3" numFmtId="4">
    <oc r="D108">
      <v>5</v>
    </oc>
    <nc r="D108">
      <v>7</v>
    </nc>
  </rcc>
  <rcc rId="13566" sId="3">
    <oc r="E108">
      <f>15+630+12+45+30</f>
    </oc>
    <nc r="E108">
      <f>15+630+12+45+30+60+70</f>
    </nc>
  </rcc>
  <rcc rId="13567" sId="3" numFmtId="4">
    <oc r="F108">
      <v>5</v>
    </oc>
    <nc r="F108">
      <v>7</v>
    </nc>
  </rcc>
  <rcc rId="13568" sId="3" numFmtId="4">
    <oc r="G108">
      <v>732</v>
    </oc>
    <nc r="G108">
      <v>862</v>
    </nc>
  </rcc>
  <rcc rId="13569" sId="3" numFmtId="4">
    <oc r="D110">
      <v>5</v>
    </oc>
    <nc r="D110">
      <v>6</v>
    </nc>
  </rcc>
  <rcc rId="13570" sId="3">
    <oc r="E110">
      <f>30+60+20+10+20</f>
    </oc>
    <nc r="E110">
      <f>30+60+20+10+20+15</f>
    </nc>
  </rcc>
  <rcc rId="13571" sId="3" numFmtId="4">
    <oc r="F110">
      <v>5</v>
    </oc>
    <nc r="F110">
      <v>6</v>
    </nc>
  </rcc>
  <rcc rId="13572" sId="3" numFmtId="4">
    <oc r="G110">
      <f>30+60+20+10+20</f>
    </oc>
    <nc r="G110">
      <v>155</v>
    </nc>
  </rcc>
  <rcc rId="13573" sId="3" numFmtId="4">
    <nc r="D185">
      <v>1</v>
    </nc>
  </rcc>
  <rcc rId="13574" sId="3" numFmtId="4">
    <nc r="E185">
      <v>15</v>
    </nc>
  </rcc>
  <rcc rId="13575" sId="3" numFmtId="4">
    <nc r="F185">
      <v>1</v>
    </nc>
  </rcc>
  <rcc rId="13576" sId="3" numFmtId="4">
    <nc r="G185">
      <v>15</v>
    </nc>
  </rcc>
  <rcc rId="13577" sId="3" numFmtId="4">
    <oc r="D99">
      <v>1</v>
    </oc>
    <nc r="D99">
      <v>2</v>
    </nc>
  </rcc>
  <rcc rId="13578" sId="3" numFmtId="4">
    <oc r="E99">
      <v>10</v>
    </oc>
    <nc r="E99">
      <f>10+15</f>
    </nc>
  </rcc>
  <rcc rId="13579" sId="3" numFmtId="4">
    <oc r="F99">
      <v>1</v>
    </oc>
    <nc r="F99">
      <v>2</v>
    </nc>
  </rcc>
  <rcc rId="13580" sId="3" numFmtId="4">
    <oc r="G99">
      <v>10</v>
    </oc>
    <nc r="G99">
      <v>25</v>
    </nc>
  </rcc>
  <rcc rId="13581" sId="3" numFmtId="4">
    <nc r="D88">
      <v>1</v>
    </nc>
  </rcc>
  <rcc rId="13582" sId="3" numFmtId="4">
    <nc r="E88">
      <v>15</v>
    </nc>
  </rcc>
  <rcc rId="13583" sId="3" numFmtId="4">
    <nc r="F88">
      <v>1</v>
    </nc>
  </rcc>
  <rcc rId="13584" sId="3" numFmtId="4">
    <nc r="G88">
      <v>15</v>
    </nc>
  </rcc>
  <rcc rId="13585" sId="4" numFmtId="4">
    <oc r="D145">
      <v>7</v>
    </oc>
    <nc r="D145">
      <v>8</v>
    </nc>
  </rcc>
  <rcc rId="13586" sId="4">
    <oc r="E145">
      <f>2+4.2+13+2.5+5+2.5+2.5</f>
    </oc>
    <nc r="E145">
      <f>2+4.2+13+2.5+5+2.5+2.5+2.5</f>
    </nc>
  </rcc>
  <rcc rId="13587" sId="4" numFmtId="4">
    <oc r="F145">
      <v>7</v>
    </oc>
    <nc r="F145">
      <v>8</v>
    </nc>
  </rcc>
  <rcc rId="13588" sId="4" numFmtId="4">
    <oc r="G145">
      <f>2+4.2+13+2.5+5+2.5+2.5</f>
    </oc>
    <nc r="G145">
      <v>34.200000000000003</v>
    </nc>
  </rcc>
  <rcc rId="13589" sId="4" numFmtId="4">
    <oc r="D207">
      <v>11</v>
    </oc>
    <nc r="D207">
      <v>12</v>
    </nc>
  </rcc>
  <rcc rId="13590" sId="4">
    <oc r="E207">
      <f>5+7.4+10+25+5+10+15+3+10+5+7.5</f>
    </oc>
    <nc r="E207">
      <f>5+7.4+10+25+5+10+15+3+10+5+7.5+5</f>
    </nc>
  </rcc>
  <rcc rId="13591" sId="4" numFmtId="4">
    <oc r="F207">
      <v>11</v>
    </oc>
    <nc r="F207">
      <v>12</v>
    </nc>
  </rcc>
  <rcc rId="13592" sId="4" numFmtId="4">
    <oc r="G207">
      <f>5+7.4+10+25+5+10+15+3+10+5+7.5</f>
    </oc>
    <nc r="G207">
      <v>107.9</v>
    </nc>
  </rcc>
  <rcc rId="13593" sId="4" numFmtId="4">
    <oc r="D31">
      <v>4</v>
    </oc>
    <nc r="D31">
      <v>5</v>
    </nc>
  </rcc>
  <rcc rId="13594" sId="4">
    <oc r="E31">
      <f>12+30+10+5</f>
    </oc>
    <nc r="E31">
      <f>12+30+10+5+15</f>
    </nc>
  </rcc>
  <rcc rId="13595" sId="4" numFmtId="4">
    <oc r="F31">
      <v>4</v>
    </oc>
    <nc r="F31">
      <v>5</v>
    </nc>
  </rcc>
  <rcc rId="13596" sId="4" numFmtId="4">
    <oc r="G31">
      <f>12+30+10+5</f>
    </oc>
    <nc r="G31">
      <v>72</v>
    </nc>
  </rcc>
  <rcc rId="13597" sId="4" numFmtId="4">
    <oc r="D68">
      <v>5</v>
    </oc>
    <nc r="D68">
      <v>6</v>
    </nc>
  </rcc>
  <rcc rId="13598" sId="4">
    <oc r="E68">
      <f>15+5+5+15+6</f>
    </oc>
    <nc r="E68">
      <f>15+5+5+15+6+15</f>
    </nc>
  </rcc>
  <rcc rId="13599" sId="4" numFmtId="4">
    <oc r="F68">
      <v>5</v>
    </oc>
    <nc r="F68">
      <v>6</v>
    </nc>
  </rcc>
  <rcc rId="13600" sId="4" numFmtId="4">
    <oc r="G68">
      <f>15+5+5+15+6</f>
    </oc>
    <nc r="G68">
      <v>61</v>
    </nc>
  </rcc>
  <rcc rId="13601" sId="4" numFmtId="4">
    <oc r="D82">
      <v>3</v>
    </oc>
    <nc r="D82">
      <v>4</v>
    </nc>
  </rcc>
  <rcc rId="13602" sId="4">
    <oc r="E82">
      <f>5+15+5</f>
    </oc>
    <nc r="E82">
      <f>5+15+5+10</f>
    </nc>
  </rcc>
  <rcc rId="13603" sId="4" numFmtId="4">
    <oc r="F82">
      <v>3</v>
    </oc>
    <nc r="F82">
      <v>4</v>
    </nc>
  </rcc>
  <rcc rId="13604" sId="4" numFmtId="4">
    <oc r="G82">
      <f>5+15+5</f>
    </oc>
    <nc r="G82">
      <v>35</v>
    </nc>
  </rcc>
  <rcc rId="13605" sId="4" numFmtId="4">
    <oc r="D95">
      <v>3</v>
    </oc>
    <nc r="D95">
      <v>4</v>
    </nc>
  </rcc>
  <rcc rId="13606" sId="4">
    <oc r="E95">
      <f>6+15+10</f>
    </oc>
    <nc r="E95">
      <f>6+15+10+8</f>
    </nc>
  </rcc>
  <rcc rId="13607" sId="4" numFmtId="4">
    <oc r="F95">
      <v>3</v>
    </oc>
    <nc r="F95">
      <v>4</v>
    </nc>
  </rcc>
  <rcc rId="13608" sId="4" numFmtId="4">
    <oc r="G95">
      <f>6+15+10</f>
    </oc>
    <nc r="G95">
      <v>39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3780" sId="3" numFmtId="4">
    <oc r="D106">
      <v>4</v>
    </oc>
    <nc r="D106">
      <v>5</v>
    </nc>
  </rcc>
  <rcc rId="13781" sId="3">
    <oc r="E106">
      <f>100+15+25+15</f>
    </oc>
    <nc r="E106">
      <f>100+15+25+15+80</f>
    </nc>
  </rcc>
  <rcc rId="13782" sId="3" numFmtId="4">
    <oc r="F106">
      <v>4</v>
    </oc>
    <nc r="F106">
      <v>5</v>
    </nc>
  </rcc>
  <rcc rId="13783" sId="3" numFmtId="4">
    <oc r="G106">
      <v>155</v>
    </oc>
    <nc r="G106">
      <v>235</v>
    </nc>
  </rcc>
  <rcc rId="13784" sId="3" numFmtId="4">
    <oc r="D210">
      <v>5</v>
    </oc>
    <nc r="D210">
      <v>6</v>
    </nc>
  </rcc>
  <rcc rId="13785" sId="3">
    <oc r="E210">
      <f>10+200+75+10+15</f>
    </oc>
    <nc r="E210">
      <f>10+200+75+10+15+80</f>
    </nc>
  </rcc>
  <rcc rId="13786" sId="3" numFmtId="4">
    <oc r="F210">
      <v>5</v>
    </oc>
    <nc r="F210">
      <v>6</v>
    </nc>
  </rcc>
  <rcc rId="13787" sId="3" numFmtId="4">
    <oc r="G210">
      <v>310</v>
    </oc>
    <nc r="G210">
      <v>390</v>
    </nc>
  </rcc>
  <rcc rId="13788" sId="3" numFmtId="4">
    <oc r="D41">
      <v>4</v>
    </oc>
    <nc r="D41">
      <v>5</v>
    </nc>
  </rcc>
  <rcc rId="13789" sId="3">
    <oc r="E41">
      <f>10+15+15+20</f>
    </oc>
    <nc r="E41">
      <f>10+15+15+20+70</f>
    </nc>
  </rcc>
  <rcc rId="13790" sId="3" numFmtId="4">
    <oc r="F41">
      <v>4</v>
    </oc>
    <nc r="F41">
      <v>5</v>
    </nc>
  </rcc>
  <rcc rId="13791" sId="3" numFmtId="4">
    <oc r="G41">
      <f>10+15+15+20</f>
    </oc>
    <nc r="G41">
      <v>130</v>
    </nc>
  </rcc>
  <rcc rId="13792" sId="3">
    <oc r="D36">
      <v>8</v>
    </oc>
    <nc r="D36">
      <v>9</v>
    </nc>
  </rcc>
  <rcc rId="13793" sId="3">
    <oc r="E36">
      <f>50+150+18+160+90+200+75+15</f>
    </oc>
    <nc r="E36">
      <f>50+150+18+160+90+200+75+15+150</f>
    </nc>
  </rcc>
  <rcc rId="13794" sId="3">
    <oc r="F36">
      <v>8</v>
    </oc>
    <nc r="F36">
      <v>9</v>
    </nc>
  </rcc>
  <rcc rId="13795" sId="3">
    <oc r="G36">
      <v>758</v>
    </oc>
    <nc r="G36">
      <v>908</v>
    </nc>
  </rcc>
  <rcc rId="13796" sId="3" numFmtId="4">
    <oc r="D42">
      <v>3</v>
    </oc>
    <nc r="D42">
      <v>4</v>
    </nc>
  </rcc>
  <rcc rId="13797" sId="3">
    <oc r="E42">
      <f>20+170+180</f>
    </oc>
    <nc r="E42">
      <f>20+170+180+60</f>
    </nc>
  </rcc>
  <rcc rId="13798" sId="3" numFmtId="4">
    <oc r="F42">
      <v>3</v>
    </oc>
    <nc r="F42">
      <v>4</v>
    </nc>
  </rcc>
  <rcc rId="13799" sId="3" numFmtId="4">
    <oc r="G42">
      <v>370</v>
    </oc>
    <nc r="G42">
      <v>430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13850" sId="4" numFmtId="4">
    <oc r="D242">
      <v>4</v>
    </oc>
    <nc r="D242">
      <v>5</v>
    </nc>
  </rcc>
  <rcc rId="13851" sId="4">
    <oc r="E242">
      <f>8+10+20+10</f>
    </oc>
    <nc r="E242">
      <f>8+10+20+10+15</f>
    </nc>
  </rcc>
  <rcc rId="13852" sId="4" numFmtId="4">
    <oc r="F242">
      <v>4</v>
    </oc>
    <nc r="F242">
      <v>5</v>
    </nc>
  </rcc>
  <rcc rId="13853" sId="4">
    <oc r="G242">
      <f>8+10+20+10</f>
    </oc>
    <nc r="G242">
      <f>8+10+20+10+15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14069" sId="4">
    <oc r="F1">
      <v>821</v>
    </oc>
    <nc r="F1"/>
  </rcc>
  <rcc rId="14070" sId="4">
    <oc r="C253" t="inlineStr">
      <is>
        <t>дошел№758</t>
      </is>
    </oc>
    <nc r="C253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12679" sId="3">
    <oc r="E102">
      <f>15+30</f>
    </oc>
    <nc r="E102">
      <f>15+30+315</f>
    </nc>
  </rcc>
  <rcc rId="12680" sId="3">
    <oc r="G102">
      <f>15+30</f>
    </oc>
    <nc r="G102">
      <f>15+30+315</f>
    </nc>
  </rcc>
  <rcc rId="12681" sId="3" numFmtId="4">
    <oc r="D102">
      <v>2</v>
    </oc>
    <nc r="D102">
      <v>3</v>
    </nc>
  </rcc>
  <rcc rId="12682" sId="3" numFmtId="4">
    <oc r="F102">
      <v>2</v>
    </oc>
    <nc r="F102">
      <v>3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12732" sId="4" numFmtId="4">
    <oc r="D102">
      <v>8</v>
    </oc>
    <nc r="D102">
      <v>9</v>
    </nc>
  </rcc>
  <rcc rId="12733" sId="4">
    <oc r="E102">
      <f>4+5+13+8+160+10+5+14</f>
    </oc>
    <nc r="E102">
      <f>4+5+13+8+160+10+5+14+10</f>
    </nc>
  </rcc>
  <rcc rId="12734" sId="4" numFmtId="4">
    <oc r="F102">
      <v>8</v>
    </oc>
    <nc r="F102">
      <v>9</v>
    </nc>
  </rcc>
  <rcc rId="12735" sId="4" numFmtId="4">
    <oc r="G102">
      <f>4+5+13+8+160+10+5+14</f>
    </oc>
    <nc r="G102">
      <v>229</v>
    </nc>
  </rcc>
  <rcc rId="12736" sId="3" numFmtId="4">
    <oc r="D118">
      <v>12</v>
    </oc>
    <nc r="D118">
      <v>13</v>
    </nc>
  </rcc>
  <rcc rId="12737" sId="3">
    <oc r="E118">
      <f>360+15+320+20+155+360+80+60+15+54+80+50</f>
    </oc>
    <nc r="E118">
      <f>360+15+320+20+155+360+80+60+15+54+80+50+10</f>
    </nc>
  </rcc>
  <rcc rId="12738" sId="3" numFmtId="4">
    <oc r="F118">
      <v>12</v>
    </oc>
    <nc r="F118">
      <v>13</v>
    </nc>
  </rcc>
  <rcc rId="12739" sId="3">
    <oc r="G118">
      <f>360+15+320+20+155+360+80+60+15+54+80+50</f>
    </oc>
    <nc r="G118">
      <f>360+15+320+20+155+360+80+60+15+54+80+50+10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13200" sId="4" numFmtId="4">
    <oc r="D146">
      <v>1</v>
    </oc>
    <nc r="D146">
      <v>2</v>
    </nc>
  </rcc>
  <rcc rId="13201" sId="4">
    <oc r="E146">
      <f>5</f>
    </oc>
    <nc r="E146">
      <f>5+6</f>
    </nc>
  </rcc>
  <rcc rId="13202" sId="4" numFmtId="4">
    <oc r="F146">
      <v>1</v>
    </oc>
    <nc r="F146">
      <v>2</v>
    </nc>
  </rcc>
  <rcc rId="13203" sId="4" numFmtId="4">
    <oc r="G146">
      <v>5</v>
    </oc>
    <nc r="G146">
      <v>11</v>
    </nc>
  </rcc>
  <rcc rId="13204" sId="4" numFmtId="4">
    <oc r="D105">
      <v>9</v>
    </oc>
    <nc r="D105">
      <v>10</v>
    </nc>
  </rcc>
  <rcc rId="13205" sId="4">
    <oc r="E105">
      <f>5+70+5+13+5+5+8+10+5</f>
    </oc>
    <nc r="E105">
      <f>5+70+5+13+5+5+8+10+5+8</f>
    </nc>
  </rcc>
  <rcc rId="13206" sId="4" numFmtId="4">
    <oc r="F105">
      <v>9</v>
    </oc>
    <nc r="F105">
      <v>10</v>
    </nc>
  </rcc>
  <rcc rId="13207" sId="4" numFmtId="4">
    <oc r="G105">
      <v>126</v>
    </oc>
    <nc r="G105">
      <v>134</v>
    </nc>
  </rcc>
  <rcc rId="13208" sId="4" numFmtId="4">
    <oc r="D55">
      <v>6</v>
    </oc>
    <nc r="D55">
      <v>7</v>
    </nc>
  </rcc>
  <rcc rId="13209" sId="4">
    <oc r="E55">
      <f>10+10+6+14+14+10</f>
    </oc>
    <nc r="E55">
      <f>10+10+6+14+14+10+15</f>
    </nc>
  </rcc>
  <rcc rId="13210" sId="4" numFmtId="4">
    <oc r="F55">
      <v>6</v>
    </oc>
    <nc r="F55">
      <v>7</v>
    </nc>
  </rcc>
  <rcc rId="13211" sId="4" numFmtId="4">
    <oc r="G55">
      <f>10+10+6+14+14+10</f>
    </oc>
    <nc r="G55">
      <v>79</v>
    </nc>
  </rcc>
  <rcc rId="13212" sId="4">
    <oc r="D33">
      <v>22</v>
    </oc>
    <nc r="D33">
      <v>23</v>
    </nc>
  </rcc>
  <rcc rId="13213" sId="4">
    <oc r="E33">
      <f>5.5+15+6+4+10+10+6+6+15+10+8+5+6+5+4+12+12+5+5+5+11+14</f>
    </oc>
    <nc r="E33">
      <f>5.5+15+6+4+10+10+6+6+15+10+8+5+6+5+4+12+12+5+5+5+11+14+10</f>
    </nc>
  </rcc>
  <rcc rId="13214" sId="4">
    <oc r="F33">
      <v>22</v>
    </oc>
    <nc r="F33">
      <v>23</v>
    </nc>
  </rcc>
  <rcc rId="13215" sId="4">
    <oc r="G33">
      <v>179.5</v>
    </oc>
    <nc r="G33">
      <v>189.5</v>
    </nc>
  </rcc>
  <rcc rId="13216" sId="4" numFmtId="4">
    <oc r="D39">
      <v>5</v>
    </oc>
    <nc r="D39">
      <v>7</v>
    </nc>
  </rcc>
  <rcc rId="13217" sId="4">
    <oc r="E39">
      <f>10+10+15+8+15</f>
    </oc>
    <nc r="E39">
      <f>10+10+15+8+15+10+8</f>
    </nc>
  </rcc>
  <rcc rId="13218" sId="4" numFmtId="4">
    <oc r="F39">
      <v>5</v>
    </oc>
    <nc r="F39">
      <v>7</v>
    </nc>
  </rcc>
  <rcc rId="13219" sId="4" numFmtId="4">
    <oc r="G39">
      <f>10+10+15+8+15</f>
    </oc>
    <nc r="G39">
      <v>76</v>
    </nc>
  </rcc>
  <rcc rId="13220" sId="4" numFmtId="4">
    <oc r="D167">
      <v>4</v>
    </oc>
    <nc r="D167">
      <v>5</v>
    </nc>
  </rcc>
  <rcc rId="13221" sId="4">
    <oc r="E167">
      <f>5+15+8+8</f>
    </oc>
    <nc r="E167">
      <f>5+15+8+8+10</f>
    </nc>
  </rcc>
  <rcc rId="13222" sId="4" numFmtId="4">
    <oc r="F167">
      <v>4</v>
    </oc>
    <nc r="F167">
      <v>5</v>
    </nc>
  </rcc>
  <rcc rId="13223" sId="4" numFmtId="4">
    <oc r="G167">
      <f>5+15+8+8</f>
    </oc>
    <nc r="G167">
      <v>46</v>
    </nc>
  </rcc>
  <rcc rId="13224" sId="4" numFmtId="4">
    <oc r="D104">
      <v>1</v>
    </oc>
    <nc r="D104">
      <v>3</v>
    </nc>
  </rcc>
  <rcc rId="13225" sId="4">
    <oc r="E104">
      <v>5</v>
    </oc>
    <nc r="E104">
      <f>5+12+5</f>
    </nc>
  </rcc>
  <rcc rId="13226" sId="4" numFmtId="4">
    <oc r="F104">
      <v>1</v>
    </oc>
    <nc r="F104">
      <v>3</v>
    </nc>
  </rcc>
  <rcc rId="13227" sId="4" numFmtId="4">
    <oc r="G104">
      <v>5</v>
    </oc>
    <nc r="G104">
      <v>22</v>
    </nc>
  </rcc>
  <rcc rId="13228" sId="3" numFmtId="4">
    <oc r="D118">
      <v>14</v>
    </oc>
    <nc r="D118">
      <v>15</v>
    </nc>
  </rcc>
  <rcc rId="13229" sId="3">
    <oc r="E118">
      <f>360+15+320+20+155+360+80+60+15+54+80+50+10+10</f>
    </oc>
    <nc r="E118">
      <f>360+15+320+20+155+360+80+60+15+54+80+50+10+10+200</f>
    </nc>
  </rcc>
  <rcc rId="13230" sId="3" numFmtId="4">
    <oc r="F118">
      <v>14</v>
    </oc>
    <nc r="F118">
      <v>15</v>
    </nc>
  </rcc>
  <rcc rId="13231" sId="3" numFmtId="4">
    <oc r="G118">
      <f>360+15+320+20+155+360+80+60+15+54+80+50+10+10</f>
    </oc>
    <nc r="G118">
      <v>1789</v>
    </nc>
  </rcc>
  <rcc rId="13232" sId="3" numFmtId="4">
    <oc r="D68">
      <v>5</v>
    </oc>
    <nc r="D68">
      <v>6</v>
    </nc>
  </rcc>
  <rcc rId="13233" sId="3">
    <oc r="E68">
      <f>41+15+15+155+50</f>
    </oc>
    <nc r="E68">
      <f>41+15+15+155+50+15</f>
    </nc>
  </rcc>
  <rcc rId="13234" sId="3" numFmtId="4">
    <oc r="F68">
      <v>5</v>
    </oc>
    <nc r="F68">
      <v>6</v>
    </nc>
  </rcc>
  <rcc rId="13235" sId="3" numFmtId="4">
    <oc r="G68">
      <f>41+15+15+155+50</f>
    </oc>
    <nc r="G68">
      <v>291</v>
    </nc>
  </rcc>
  <rcc rId="13236" sId="3" numFmtId="4">
    <oc r="D35">
      <v>7</v>
    </oc>
    <nc r="D35">
      <v>8</v>
    </nc>
  </rcc>
  <rcc rId="13237" sId="3">
    <oc r="E35">
      <f>15+100+25+20+20+25+160</f>
    </oc>
    <nc r="E35">
      <f>15+100+25+20+20+25+160+45</f>
    </nc>
  </rcc>
  <rcc rId="13238" sId="3" numFmtId="4">
    <oc r="F35">
      <v>7</v>
    </oc>
    <nc r="F35">
      <v>8</v>
    </nc>
  </rcc>
  <rcc rId="13239" sId="3" numFmtId="4">
    <oc r="G35">
      <v>365</v>
    </oc>
    <nc r="G35">
      <v>410</v>
    </nc>
  </rcc>
  <rcc rId="13240" sId="3" numFmtId="4">
    <oc r="D34">
      <v>2</v>
    </oc>
    <nc r="D34">
      <v>3</v>
    </nc>
  </rcc>
  <rcc rId="13241" sId="3">
    <oc r="E34">
      <f>15+10</f>
    </oc>
    <nc r="E34">
      <f>15+10+30</f>
    </nc>
  </rcc>
  <rcc rId="13242" sId="3" numFmtId="4">
    <oc r="F34">
      <v>2</v>
    </oc>
    <nc r="F34">
      <v>3</v>
    </nc>
  </rcc>
  <rcc rId="13243" sId="3" numFmtId="4">
    <oc r="G34">
      <f>15+10</f>
    </oc>
    <nc r="G34">
      <v>55</v>
    </nc>
  </rcc>
  <rcc rId="13244" sId="3" numFmtId="4">
    <oc r="D215">
      <v>1</v>
    </oc>
    <nc r="D215">
      <v>3</v>
    </nc>
  </rcc>
  <rcc rId="13245" sId="3">
    <oc r="E215">
      <v>40</v>
    </oc>
    <nc r="E215">
      <f>40+15+250</f>
    </nc>
  </rcc>
  <rcc rId="13246" sId="3" numFmtId="4">
    <oc r="F215">
      <v>1</v>
    </oc>
    <nc r="F215">
      <v>3</v>
    </nc>
  </rcc>
  <rcc rId="13247" sId="3" numFmtId="4">
    <oc r="G215">
      <v>40</v>
    </oc>
    <nc r="G215">
      <v>305</v>
    </nc>
  </rcc>
  <rcc rId="13248" sId="3" numFmtId="4">
    <oc r="D42">
      <v>2</v>
    </oc>
    <nc r="D42">
      <v>3</v>
    </nc>
  </rcc>
  <rcc rId="13249" sId="3">
    <oc r="E42">
      <f>20+170</f>
    </oc>
    <nc r="E42">
      <f>20+170+180</f>
    </nc>
  </rcc>
  <rcc rId="13250" sId="3" numFmtId="4">
    <oc r="F42">
      <v>2</v>
    </oc>
    <nc r="F42">
      <v>3</v>
    </nc>
  </rcc>
  <rcc rId="13251" sId="3" numFmtId="4">
    <oc r="G42">
      <f>20+170</f>
    </oc>
    <nc r="G42">
      <v>370</v>
    </nc>
  </rcc>
  <rcc rId="13252" sId="4" numFmtId="4">
    <oc r="D182">
      <v>6</v>
    </oc>
    <nc r="D182">
      <v>7</v>
    </nc>
  </rcc>
  <rcc rId="13253" sId="4">
    <oc r="E182">
      <f>15+4+10+8+8+15</f>
    </oc>
    <nc r="E182">
      <f>15+4+10+8+8+15+15</f>
    </nc>
  </rcc>
  <rcc rId="13254" sId="4" numFmtId="4">
    <oc r="F182">
      <v>6</v>
    </oc>
    <nc r="F182">
      <v>7</v>
    </nc>
  </rcc>
  <rcc rId="13255" sId="4" numFmtId="4">
    <oc r="G182">
      <v>60</v>
    </oc>
    <nc r="G182">
      <v>75</v>
    </nc>
  </rcc>
  <rcc rId="13256" sId="4" numFmtId="4">
    <oc r="D240">
      <v>2</v>
    </oc>
    <nc r="D240">
      <v>3</v>
    </nc>
  </rcc>
  <rcc rId="13257" sId="4">
    <oc r="E240">
      <f>10+9</f>
    </oc>
    <nc r="E240">
      <f>10+9+5</f>
    </nc>
  </rcc>
  <rcc rId="13258" sId="4" numFmtId="4">
    <oc r="F240">
      <v>2</v>
    </oc>
    <nc r="F240">
      <v>3</v>
    </nc>
  </rcc>
  <rcc rId="13259" sId="4" numFmtId="4">
    <oc r="G240">
      <f>10+9</f>
    </oc>
    <nc r="G240">
      <v>24</v>
    </nc>
  </rcc>
  <rcc rId="13260" sId="3">
    <oc r="E105">
      <f>350+130+70+160+200+65+8+10+160+15+200</f>
    </oc>
    <nc r="E105">
      <f>350+130+70+160+200+65+8+10+160+15+200+20</f>
    </nc>
  </rcc>
  <rcc rId="13261" sId="3" numFmtId="4">
    <oc r="F105">
      <v>11</v>
    </oc>
    <nc r="F105">
      <v>12</v>
    </nc>
  </rcc>
  <rcc rId="13262" sId="3" numFmtId="4">
    <oc r="D105">
      <v>11</v>
    </oc>
    <nc r="D105">
      <v>12</v>
    </nc>
  </rcc>
  <rcc rId="13263" sId="3" numFmtId="4">
    <oc r="G105">
      <v>1368</v>
    </oc>
    <nc r="G105">
      <v>1388</v>
    </nc>
  </rcc>
  <rcc rId="13264" sId="3" numFmtId="4">
    <nc r="D89">
      <v>1</v>
    </nc>
  </rcc>
  <rcc rId="13265" sId="3" numFmtId="4">
    <nc r="E89">
      <v>15</v>
    </nc>
  </rcc>
  <rcc rId="13266" sId="3" numFmtId="4">
    <nc r="F89">
      <v>1</v>
    </nc>
  </rcc>
  <rcc rId="13267" sId="3" numFmtId="4">
    <nc r="G89">
      <v>15</v>
    </nc>
  </rcc>
  <rcc rId="13268" sId="3" numFmtId="4">
    <oc r="D234">
      <v>2</v>
    </oc>
    <nc r="D234">
      <v>3</v>
    </nc>
  </rcc>
  <rcc rId="13269" sId="3">
    <oc r="E234">
      <f>10+13</f>
    </oc>
    <nc r="E234">
      <f>10+13+15</f>
    </nc>
  </rcc>
  <rcc rId="13270" sId="3" numFmtId="4">
    <oc r="F234">
      <v>2</v>
    </oc>
    <nc r="F234">
      <v>3</v>
    </nc>
  </rcc>
  <rcc rId="13271" sId="3" numFmtId="4">
    <oc r="G234">
      <f>10+13</f>
    </oc>
    <nc r="G234">
      <v>38</v>
    </nc>
  </rcc>
  <rcc rId="13272" sId="3" numFmtId="4">
    <oc r="D210">
      <v>2</v>
    </oc>
    <nc r="D210">
      <v>4</v>
    </nc>
  </rcc>
  <rcc rId="13273" sId="3">
    <oc r="E210">
      <f>10+200</f>
    </oc>
    <nc r="E210">
      <f>10+200+75+10</f>
    </nc>
  </rcc>
  <rcc rId="13274" sId="3" numFmtId="4">
    <oc r="F210">
      <v>2</v>
    </oc>
    <nc r="F210">
      <v>4</v>
    </nc>
  </rcc>
  <rcc rId="13275" sId="3" numFmtId="4">
    <oc r="G210">
      <v>210</v>
    </oc>
    <nc r="G210">
      <v>295</v>
    </nc>
  </rcc>
  <rcc rId="13276" sId="3" numFmtId="4">
    <oc r="D148">
      <v>1</v>
    </oc>
    <nc r="D148">
      <v>2</v>
    </nc>
  </rcc>
  <rcc rId="13277" sId="3" numFmtId="4">
    <oc r="E148">
      <v>10</v>
    </oc>
    <nc r="E148">
      <f>10+10</f>
    </nc>
  </rcc>
  <rcc rId="13278" sId="3" numFmtId="4">
    <oc r="F148">
      <v>1</v>
    </oc>
    <nc r="F148">
      <v>2</v>
    </nc>
  </rcc>
  <rcc rId="13279" sId="3" numFmtId="4">
    <oc r="G148">
      <v>10</v>
    </oc>
    <nc r="G148">
      <v>20</v>
    </nc>
  </rcc>
  <rcc rId="13280" sId="3" numFmtId="4">
    <oc r="D48">
      <v>7</v>
    </oc>
    <nc r="D48">
      <v>8</v>
    </nc>
  </rcc>
  <rcc rId="13281" sId="3">
    <oc r="E48">
      <f>100+170+100+60+160+63+80</f>
    </oc>
    <nc r="E48">
      <f>100+170+100+60+160+63+80+30</f>
    </nc>
  </rcc>
  <rcc rId="13282" sId="3" numFmtId="4">
    <oc r="F48">
      <v>7</v>
    </oc>
    <nc r="F48">
      <v>8</v>
    </nc>
  </rcc>
  <rcc rId="13283" sId="3" numFmtId="4">
    <oc r="G48">
      <v>733</v>
    </oc>
    <nc r="G48">
      <v>763</v>
    </nc>
  </rcc>
  <rcc rId="13284" sId="4" numFmtId="4">
    <oc r="D51">
      <v>1</v>
    </oc>
    <nc r="D51">
      <v>2</v>
    </nc>
  </rcc>
  <rcc rId="13285" sId="4" numFmtId="4">
    <oc r="E51">
      <v>13</v>
    </oc>
    <nc r="E51">
      <f>13+5</f>
    </nc>
  </rcc>
  <rcc rId="13286" sId="4" numFmtId="4">
    <oc r="F51">
      <v>1</v>
    </oc>
    <nc r="F51">
      <v>2</v>
    </nc>
  </rcc>
  <rcc rId="13287" sId="4" numFmtId="4">
    <oc r="G51">
      <v>13</v>
    </oc>
    <nc r="G51">
      <v>18</v>
    </nc>
  </rcc>
  <rcc rId="13288" sId="4" numFmtId="4">
    <oc r="D109">
      <v>18</v>
    </oc>
    <nc r="D109">
      <v>19</v>
    </nc>
  </rcc>
  <rcc rId="13289" sId="4">
    <oc r="E109">
      <f>50+10+5+5+5+10+5+10+13+5+7+10+5+5+5+5+11+5</f>
    </oc>
    <nc r="E109">
      <f>50+10+5+5+5+10+5+10+13+5+7+10+5+5+5+5+11+5+15</f>
    </nc>
  </rcc>
  <rcc rId="13290" sId="4" numFmtId="4">
    <oc r="F109">
      <v>18</v>
    </oc>
    <nc r="F109">
      <v>19</v>
    </nc>
  </rcc>
  <rcc rId="13291" sId="4" numFmtId="4">
    <oc r="G109">
      <v>171</v>
    </oc>
    <nc r="G109">
      <v>186</v>
    </nc>
  </rcc>
  <rcc rId="13292" sId="4" numFmtId="4">
    <oc r="D110">
      <v>5</v>
    </oc>
    <nc r="D110">
      <v>6</v>
    </nc>
  </rcc>
  <rcc rId="13293" sId="4">
    <oc r="E110">
      <f>6+4+5+5+3</f>
    </oc>
    <nc r="E110">
      <f>6+4+5+5+3+7</f>
    </nc>
  </rcc>
  <rcc rId="13294" sId="4" numFmtId="4">
    <oc r="F110">
      <v>5</v>
    </oc>
    <nc r="F110">
      <v>6</v>
    </nc>
  </rcc>
  <rcc rId="13295" sId="4" numFmtId="4">
    <oc r="G110">
      <v>23</v>
    </oc>
    <nc r="G110">
      <v>30</v>
    </nc>
  </rcc>
  <rcc rId="13296" sId="4" numFmtId="4">
    <nc r="D98">
      <v>1</v>
    </nc>
  </rcc>
  <rcc rId="13297" sId="4" numFmtId="4">
    <nc r="E98">
      <v>7</v>
    </nc>
  </rcc>
  <rcc rId="13298" sId="4" numFmtId="4">
    <nc r="F98">
      <v>1</v>
    </nc>
  </rcc>
  <rcc rId="13299" sId="4" numFmtId="4">
    <nc r="G98">
      <v>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c rId="13366" sId="4" numFmtId="4">
    <oc r="D224">
      <v>5</v>
    </oc>
    <nc r="D224">
      <v>6</v>
    </nc>
  </rcc>
  <rcc rId="13367" sId="4">
    <oc r="E224">
      <f>14+10+10+10+10</f>
    </oc>
    <nc r="E224">
      <f>14+10+10+10+10+6</f>
    </nc>
  </rcc>
  <rcc rId="13368" sId="4" numFmtId="4">
    <oc r="D240">
      <v>3</v>
    </oc>
    <nc r="D240">
      <v>4</v>
    </nc>
  </rcc>
  <rcc rId="13369" sId="4">
    <oc r="E240">
      <f>10+9+5</f>
    </oc>
    <nc r="E240">
      <f>10+9+5+6</f>
    </nc>
  </rcc>
  <rcc rId="13370" sId="4" numFmtId="4">
    <oc r="D37">
      <v>11</v>
    </oc>
    <nc r="D37">
      <v>12</v>
    </nc>
  </rcc>
  <rcc rId="13371" sId="4">
    <oc r="E37">
      <f>10+10+15+6+2+4+3+2+2.5+3+5</f>
    </oc>
    <nc r="E37">
      <f>10+10+15+6+2+4+3+2+2.5+3+5+10</f>
    </nc>
  </rcc>
  <rcc rId="13372" sId="4" numFmtId="4">
    <oc r="D81">
      <v>3</v>
    </oc>
    <nc r="D81">
      <v>4</v>
    </nc>
  </rcc>
  <rcc rId="13373" sId="4">
    <oc r="E81">
      <f>100+5+5</f>
    </oc>
    <nc r="E81">
      <f>100+5+5+10</f>
    </nc>
  </rcc>
  <rcc rId="13374" sId="4" numFmtId="4">
    <oc r="D207">
      <v>10</v>
    </oc>
    <nc r="D207">
      <v>11</v>
    </nc>
  </rcc>
  <rcc rId="13375" sId="4">
    <oc r="E207">
      <f>5+7.4+10+25+5+10+15+3+10+5</f>
    </oc>
    <nc r="E207">
      <f>5+7.4+10+25+5+10+15+3+10+5+7.5</f>
    </nc>
  </rcc>
  <rcc rId="13376" sId="4">
    <nc r="C254" t="inlineStr">
      <is>
        <t>дошел№758</t>
      </is>
    </nc>
  </rcc>
  <rcc rId="13377" sId="3">
    <nc r="C254" t="inlineStr">
      <is>
        <t>дошел№ 783</t>
      </is>
    </nc>
  </rcc>
  <rcc rId="13378" sId="1">
    <oc r="B256" t="inlineStr">
      <is>
        <t>дошел№ 610 611</t>
      </is>
    </oc>
    <nc r="B256" t="inlineStr">
      <is>
        <t>дошел№ 783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cc rId="12916" sId="4" numFmtId="4">
    <oc r="D145">
      <v>6</v>
    </oc>
    <nc r="D145">
      <v>7</v>
    </nc>
  </rcc>
  <rcc rId="12917" sId="4">
    <oc r="E145">
      <f>2+4.2+13+2.5+5+2.5</f>
    </oc>
    <nc r="E145">
      <f>2+4.2+13+2.5+5+2.5+2.5</f>
    </nc>
  </rcc>
  <rcc rId="12918" sId="4" numFmtId="4">
    <oc r="F145">
      <v>6</v>
    </oc>
    <nc r="F145">
      <v>7</v>
    </nc>
  </rcc>
  <rcc rId="12919" sId="4" numFmtId="4">
    <oc r="G145">
      <v>29.2</v>
    </oc>
    <nc r="G145">
      <v>31.7</v>
    </nc>
  </rcc>
  <rcc rId="12920" sId="4" numFmtId="4">
    <oc r="D224">
      <v>4</v>
    </oc>
    <nc r="D224">
      <v>5</v>
    </nc>
  </rcc>
  <rcc rId="12921" sId="4">
    <oc r="E224">
      <f>14+10+10+10</f>
    </oc>
    <nc r="E224">
      <f>14+10+10+10+10</f>
    </nc>
  </rcc>
  <rcc rId="12922" sId="4" numFmtId="4">
    <oc r="F224">
      <v>4</v>
    </oc>
    <nc r="F224">
      <v>5</v>
    </nc>
  </rcc>
  <rcc rId="12923" sId="4" numFmtId="4">
    <oc r="G224">
      <v>44</v>
    </oc>
    <nc r="G224">
      <v>54</v>
    </nc>
  </rcc>
  <rcc rId="12924" sId="4" numFmtId="4">
    <oc r="D45">
      <v>6</v>
    </oc>
    <nc r="D45">
      <v>9</v>
    </nc>
  </rcc>
  <rcc rId="12925" sId="4">
    <oc r="E45">
      <f>15+10+10+13+6+10</f>
    </oc>
    <nc r="E45">
      <f>15+10+10+13+6+10+15+15+15</f>
    </nc>
  </rcc>
  <rcc rId="12926" sId="4" numFmtId="4">
    <oc r="F45">
      <v>6</v>
    </oc>
    <nc r="F45">
      <v>9</v>
    </nc>
  </rcc>
  <rcc rId="12927" sId="4" numFmtId="4">
    <oc r="G45">
      <v>64</v>
    </oc>
    <nc r="G45">
      <v>109</v>
    </nc>
  </rcc>
  <rcc rId="12928" sId="4" numFmtId="4">
    <oc r="D29">
      <v>8</v>
    </oc>
    <nc r="D29">
      <v>9</v>
    </nc>
  </rcc>
  <rcc rId="12929" sId="4">
    <oc r="E29">
      <f>10+8+8+5+8+10+5+10</f>
    </oc>
    <nc r="E29">
      <f>10+8+8+5+8+10+5+10+7</f>
    </nc>
  </rcc>
  <rcc rId="12930" sId="4" numFmtId="4">
    <oc r="F29">
      <v>8</v>
    </oc>
    <nc r="F29">
      <v>9</v>
    </nc>
  </rcc>
  <rcc rId="12931" sId="4" numFmtId="4">
    <oc r="G29">
      <v>64</v>
    </oc>
    <nc r="G29">
      <v>71</v>
    </nc>
  </rcc>
  <rcc rId="12932" sId="4" numFmtId="4">
    <oc r="D207">
      <v>7</v>
    </oc>
    <nc r="D207">
      <v>8</v>
    </nc>
  </rcc>
  <rcc rId="12933" sId="4">
    <oc r="E207">
      <f>5+7.4+10+25+5+10+15</f>
    </oc>
    <nc r="E207">
      <f>5+7.4+10+25+5+10+15+3</f>
    </nc>
  </rcc>
  <rcc rId="12934" sId="4" numFmtId="4">
    <oc r="F207">
      <v>7</v>
    </oc>
    <nc r="F207">
      <v>8</v>
    </nc>
  </rcc>
  <rcc rId="12935" sId="4" numFmtId="4">
    <oc r="G207">
      <f>5+7.4+10+25+5+10+15</f>
    </oc>
    <nc r="G207">
      <v>80.400000000000006</v>
    </nc>
  </rcc>
  <rcc rId="12936" sId="4" numFmtId="4">
    <oc r="D117">
      <v>1</v>
    </oc>
    <nc r="D117">
      <v>2</v>
    </nc>
  </rcc>
  <rcc rId="12937" sId="4" numFmtId="4">
    <oc r="E117">
      <v>8</v>
    </oc>
    <nc r="E117">
      <f>8+10</f>
    </nc>
  </rcc>
  <rcc rId="12938" sId="4" numFmtId="4">
    <oc r="F117">
      <v>1</v>
    </oc>
    <nc r="F117">
      <v>2</v>
    </nc>
  </rcc>
  <rcc rId="12939" sId="4" numFmtId="4">
    <oc r="G117">
      <v>8</v>
    </oc>
    <nc r="G117">
      <v>18</v>
    </nc>
  </rcc>
  <rcc rId="12940" sId="4" numFmtId="4">
    <oc r="D105">
      <v>6</v>
    </oc>
    <nc r="D105">
      <v>7</v>
    </nc>
  </rcc>
  <rcc rId="12941" sId="4">
    <oc r="E105">
      <f>5+70+5+13+5+5</f>
    </oc>
    <nc r="E105">
      <f>5+70+5+13+5+5+8</f>
    </nc>
  </rcc>
  <rcc rId="12942" sId="4" numFmtId="4">
    <oc r="F105">
      <v>6</v>
    </oc>
    <nc r="F105">
      <v>7</v>
    </nc>
  </rcc>
  <rcc rId="12943" sId="4" numFmtId="4">
    <oc r="G105">
      <v>103</v>
    </oc>
    <nc r="G105">
      <v>111</v>
    </nc>
  </rcc>
  <rcc rId="12944" sId="4">
    <oc r="D33">
      <v>19</v>
    </oc>
    <nc r="D33">
      <v>22</v>
    </nc>
  </rcc>
  <rcc rId="12945" sId="4">
    <oc r="E33">
      <f>5.5+15+6+4+10+10+6+6+15+10+8+5+6+5+4+12+12+5+5</f>
    </oc>
    <nc r="E33">
      <f>5.5+15+6+4+10+10+6+6+15+10+8+5+6+5+4+12+12+5+5+5+11+14</f>
    </nc>
  </rcc>
  <rcc rId="12946" sId="4">
    <oc r="F33">
      <v>19</v>
    </oc>
    <nc r="F33">
      <v>22</v>
    </nc>
  </rcc>
  <rcc rId="12947" sId="4">
    <oc r="G33">
      <v>149.5</v>
    </oc>
    <nc r="G33">
      <v>179.5</v>
    </nc>
  </rcc>
  <rcc rId="12948" sId="3" numFmtId="4">
    <oc r="D32">
      <v>4</v>
    </oc>
    <nc r="D32">
      <v>5</v>
    </nc>
  </rcc>
  <rcc rId="12949" sId="3">
    <oc r="E32">
      <f>10+100+300+80</f>
    </oc>
    <nc r="E32">
      <f>10+100+300+80+10</f>
    </nc>
  </rcc>
  <rcc rId="12950" sId="3" numFmtId="4">
    <oc r="F32">
      <v>4</v>
    </oc>
    <nc r="F32">
      <v>5</v>
    </nc>
  </rcc>
  <rcc rId="12951" sId="3" numFmtId="4">
    <oc r="G32">
      <f>10+100+300+80</f>
    </oc>
    <nc r="G32">
      <v>500</v>
    </nc>
  </rcc>
  <rcc rId="12952" sId="3" numFmtId="4">
    <oc r="D37">
      <v>1</v>
    </oc>
    <nc r="D37">
      <v>2</v>
    </nc>
  </rcc>
  <rcc rId="12953" sId="3" numFmtId="4">
    <oc r="E37">
      <v>60</v>
    </oc>
    <nc r="E37">
      <f>60+15</f>
    </nc>
  </rcc>
  <rcc rId="12954" sId="3" numFmtId="4">
    <oc r="F37">
      <v>1</v>
    </oc>
    <nc r="F37">
      <v>2</v>
    </nc>
  </rcc>
  <rcc rId="12955" sId="3" numFmtId="4">
    <oc r="G37">
      <v>60</v>
    </oc>
    <nc r="G37">
      <v>75</v>
    </nc>
  </rcc>
  <rcc rId="12956" sId="3" numFmtId="4">
    <oc r="D105">
      <v>8</v>
    </oc>
    <nc r="D105">
      <v>9</v>
    </nc>
  </rcc>
  <rcc rId="12957" sId="3">
    <oc r="E105">
      <f>350+130+70+160+200+65+8+10</f>
    </oc>
    <nc r="E105">
      <f>350+130+70+160+200+65+8+10+160</f>
    </nc>
  </rcc>
  <rcc rId="12958" sId="3" numFmtId="4">
    <oc r="F105">
      <v>8</v>
    </oc>
    <nc r="F105">
      <v>9</v>
    </nc>
  </rcc>
  <rcc rId="12959" sId="3" numFmtId="4">
    <oc r="G105">
      <f>350+130+70+160+200+65+8+10</f>
    </oc>
    <nc r="G105">
      <v>1153</v>
    </nc>
  </rcc>
  <rcc rId="12960" sId="3" numFmtId="4">
    <oc r="D106">
      <v>3</v>
    </oc>
    <nc r="D106">
      <v>4</v>
    </nc>
  </rcc>
  <rcc rId="12961" sId="3">
    <oc r="E106">
      <f>100+15+25</f>
    </oc>
    <nc r="E106">
      <f>100+15+25+15</f>
    </nc>
  </rcc>
  <rcc rId="12962" sId="3" numFmtId="4">
    <oc r="F106">
      <v>3</v>
    </oc>
    <nc r="F106">
      <v>4</v>
    </nc>
  </rcc>
  <rcc rId="12963" sId="3" numFmtId="4">
    <oc r="G106">
      <f>100+15+25</f>
    </oc>
    <nc r="G106">
      <v>155</v>
    </nc>
  </rcc>
  <rcc rId="12964" sId="3" numFmtId="4">
    <nc r="D161">
      <v>1</v>
    </nc>
  </rcc>
  <rcc rId="12965" sId="3" numFmtId="4">
    <nc r="E161">
      <v>20</v>
    </nc>
  </rcc>
  <rcc rId="12966" sId="3" numFmtId="4">
    <nc r="F161">
      <v>1</v>
    </nc>
  </rcc>
  <rcc rId="12967" sId="3" numFmtId="4">
    <nc r="G161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14060" sId="1" ref="A64:XFD64" action="deleteRow">
    <undo index="0" exp="area" dr="Q23:Q64" r="Q65" sId="1"/>
    <undo index="0" exp="area" dr="P23:P64" r="P65" sId="1"/>
    <undo index="0" exp="area" dr="O23:O64" r="O65" sId="1"/>
    <undo index="0" exp="area" dr="N23:N64" r="N65" sId="1"/>
    <undo index="0" exp="area" dr="M23:M64" r="M65" sId="1"/>
    <undo index="0" exp="area" dr="L23:L64" r="L65" sId="1"/>
    <undo index="0" exp="area" dr="K23:K64" r="K65" sId="1"/>
    <undo index="0" exp="area" dr="J23:J64" r="J65" sId="1"/>
    <undo index="0" exp="area" dr="I23:I64" r="I65" sId="1"/>
    <undo index="0" exp="area" dr="H23:H64" r="H65" sId="1"/>
    <undo index="0" exp="area" dr="G23:G64" r="G65" sId="1"/>
    <undo index="0" exp="area" dr="F23:F64" r="F65" sId="1"/>
    <undo index="0" exp="area" dr="E23:E64" r="E65" sId="1"/>
    <undo index="0" exp="area" dr="D23:D64" r="D65" sId="1"/>
    <rfmt sheetId="1" xfDxf="1" sqref="A64:XFD64" start="0" length="0"/>
    <rfmt sheetId="1" sqref="A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4" t="inlineStr">
        <is>
          <t>Точная механика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4">
        <f>'июнь 2014г. по 6-10'!D64+'июнь 2014г. по 0,4'!D61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64">
        <f>'июнь 2014г. по 6-10'!E64+'июнь 2014г. по 0,4'!E61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F64">
        <f>'июнь 2014г. по 6-10'!F64+'июнь 2014г. по 0,4'!F61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4">
        <f>'июнь 2014г. по 6-10'!G64+'июнь 2014г. по 0,4'!G61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H64">
        <f>'июнь 2014г. по 6-10'!H64+'июнь 2014г. по 0,4'!H61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4">
        <f>'июнь 2014г. по 6-10'!I64+'июнь 2014г. по 0,4'!I61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J64">
        <f>'июнь 2014г. по 6-10'!J64+'июнь 2014г. по 0,4'!J61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K64">
        <f>'июнь 2014г. по 6-10'!K64+'июнь 2014г. по 0,4'!K61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L64">
        <f>'июнь 2014г. по 6-10'!L64+'июнь 2014г. по 0,4'!L61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M64">
        <f>'июнь 2014г. по 6-10'!M64+'июнь 2014г. по 0,4'!M61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N64">
        <f>'июнь 2014г. по 6-10'!N64+'июнь 2014г. по 0,4'!N61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O64">
        <f>'июнь 2014г. по 6-10'!O64+'июнь 2014г. по 0,4'!O61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P64">
        <f>'июнь 2014г. по 6-10'!P64+'июнь 2014г. по 0,4'!P61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Q64">
        <f>'июнь 2014г. по 6-10'!Q64+'июнь 2014г. по 0,4'!Q61</f>
      </nc>
      <n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14061" sId="3" ref="A64:XFD64" action="deleteRow">
    <undo index="0" exp="area" dr="Q23:Q64" r="Q65" sId="3"/>
    <undo index="0" exp="area" dr="P23:P64" r="P65" sId="3"/>
    <undo index="0" exp="area" dr="O23:O64" r="O65" sId="3"/>
    <undo index="0" exp="area" dr="N23:N64" r="N65" sId="3"/>
    <undo index="0" exp="area" dr="M23:M64" r="M65" sId="3"/>
    <undo index="0" exp="area" dr="L23:L64" r="L65" sId="3"/>
    <undo index="0" exp="area" dr="K23:K64" r="K65" sId="3"/>
    <undo index="0" exp="area" dr="J23:J64" r="J65" sId="3"/>
    <undo index="0" exp="area" dr="I23:I64" r="I65" sId="3"/>
    <undo index="0" exp="area" dr="H23:H64" r="H65" sId="3"/>
    <undo index="0" exp="area" dr="G23:G64" r="G65" sId="3"/>
    <undo index="0" exp="area" dr="F23:F64" r="F65" sId="3"/>
    <undo index="0" exp="area" dr="E23:E64" r="E65" sId="3"/>
    <undo index="0" exp="area" dr="D23:D64" r="D65" sId="3"/>
    <rfmt sheetId="3" xfDxf="1" sqref="A64:XFD64" start="0" length="0"/>
    <rfmt sheetId="3" sqref="A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64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C64" t="inlineStr">
        <is>
          <t>Точная механика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D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E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G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H64">
        <v>0</v>
      </nc>
      <ndxf>
        <font>
          <sz val="11"/>
          <color auto="1"/>
          <name val="Calibri"/>
          <scheme val="minor"/>
        </font>
        <numFmt numFmtId="1" formatCode="0"/>
        <alignment horizontal="left" indent="3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I64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J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K64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L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M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N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O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P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Q6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4062" sId="4" ref="A61:XFD61" action="deleteRow">
    <undo index="0" exp="area" dr="Q20:Q61" r="Q62" sId="4"/>
    <undo index="0" exp="area" dr="P20:P61" r="P62" sId="4"/>
    <undo index="0" exp="area" dr="O20:O61" r="O62" sId="4"/>
    <undo index="0" exp="area" dr="N20:N61" r="N62" sId="4"/>
    <undo index="0" exp="area" dr="M20:M61" r="M62" sId="4"/>
    <undo index="0" exp="area" dr="L20:L61" r="L62" sId="4"/>
    <undo index="0" exp="area" dr="K20:K61" r="K62" sId="4"/>
    <undo index="0" exp="area" dr="J20:J61" r="J62" sId="4"/>
    <undo index="0" exp="area" dr="I20:I61" r="I62" sId="4"/>
    <undo index="0" exp="area" dr="H20:H61" r="H62" sId="4"/>
    <undo index="0" exp="area" dr="G20:G61" r="G62" sId="4"/>
    <undo index="0" exp="area" dr="F20:F61" r="F62" sId="4"/>
    <undo index="0" exp="area" dr="E20:E61" r="E62" sId="4"/>
    <undo index="0" exp="area" dr="D20:D61" r="D62" sId="4"/>
    <rfmt sheetId="4" xfDxf="1" sqref="A61:XFD61" start="0" length="0"/>
    <rfmt sheetId="4" sqref="A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B61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4" dxf="1">
      <nc r="C61" t="inlineStr">
        <is>
          <t>Точная механика</t>
        </is>
      </nc>
      <ndxf>
        <font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qref="D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E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F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G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4" s="1" dxf="1" numFmtId="4">
      <nc r="H61">
        <v>0</v>
      </nc>
      <ndxf>
        <font>
          <sz val="11"/>
          <color auto="1"/>
          <name val="Calibri"/>
          <scheme val="minor"/>
        </font>
        <numFmt numFmtId="1" formatCode="0"/>
        <alignment horizontal="left" indent="4" relativeIndent="0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4" s="1" sqref="I61" start="0" length="0">
      <dxf>
        <font>
          <sz val="11"/>
          <color auto="1"/>
          <name val="Calibri"/>
          <scheme val="minor"/>
        </font>
        <numFmt numFmtId="2" formatCode="0.0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K61" start="0" length="0">
      <dxf>
        <numFmt numFmtId="2" formatCode="0.00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L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M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N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O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P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Q61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2014г'!$C$21:$C$247</formula>
    <oldFormula>'июнь 2014г'!$C$21:$C$247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6-10'!$C$21:$C$130</formula>
    <oldFormula>'июнь 2014г. по 6-10'!$C$21:$C$130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0,4'!$C$18:$C$127</formula>
    <oldFormula>'июнь 2014г. по 0,4'!$C$18:$C$127</oldFormula>
  </rdn>
  <rcv guid="{A743F9C7-8B89-4E8F-B91F-1FFB859064F2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13816" sId="4" numFmtId="4">
    <oc r="D109">
      <v>19</v>
    </oc>
    <nc r="D109">
      <v>20</v>
    </nc>
  </rcc>
  <rcc rId="13817" sId="4">
    <oc r="E109">
      <f>50+10+5+5+5+10+5+10+13+5+7+10+5+5+5+5+11+5+15</f>
    </oc>
    <nc r="E109">
      <f>50+10+5+5+5+10+5+10+13+5+7+10+5+5+5+5+11+5+15+5</f>
    </nc>
  </rcc>
  <rcc rId="13818" sId="4" numFmtId="4">
    <oc r="F109">
      <v>19</v>
    </oc>
    <nc r="F109">
      <v>20</v>
    </nc>
  </rcc>
  <rcc rId="13819" sId="4" numFmtId="4">
    <oc r="G109">
      <f>50+10+5+5+5+10+5+10+13+5+7+10+5+5+5+5+11+5+15</f>
    </oc>
    <nc r="G109">
      <v>191</v>
    </nc>
  </rcc>
  <rcc rId="13820" sId="4" numFmtId="4">
    <oc r="D207">
      <v>13</v>
    </oc>
    <nc r="D207">
      <v>14</v>
    </nc>
  </rcc>
  <rcc rId="13821" sId="4">
    <oc r="E207">
      <f>5+7.4+10+25+5+10+15+3+10+5+7.5+5+15</f>
    </oc>
    <nc r="E207">
      <f>5+7.4+10+25+5+10+15+3+10+5+7.5+5+15+5</f>
    </nc>
  </rcc>
  <rcc rId="13822" sId="4" numFmtId="4">
    <oc r="F207">
      <v>13</v>
    </oc>
    <nc r="F207">
      <v>14</v>
    </nc>
  </rcc>
  <rcc rId="13823" sId="4" numFmtId="4">
    <oc r="G207">
      <v>122.9</v>
    </oc>
    <nc r="G207">
      <v>127.9</v>
    </nc>
  </rcc>
  <rcc rId="13824" sId="4" numFmtId="4">
    <oc r="D64">
      <v>26</v>
    </oc>
    <nc r="D64">
      <v>29</v>
    </nc>
  </rcc>
  <rcc rId="13825" sId="4">
    <oc r="E64">
      <f>10+7+12+8+15+15+4+12+8+8+7+12+7+15+6+6+8+7+5+15+10+3+10+10+5+5</f>
    </oc>
    <nc r="E64">
      <f>10+7+12+8+15+15+4+12+8+8+7+12+7+15+6+6+8+7+5+15+10+3+10+10+5+5+15+5+20</f>
    </nc>
  </rcc>
  <rcc rId="13826" sId="4" numFmtId="4">
    <oc r="F64">
      <v>26</v>
    </oc>
    <nc r="F64">
      <v>29</v>
    </nc>
  </rcc>
  <rcc rId="13827" sId="4" numFmtId="4">
    <oc r="G64">
      <v>230</v>
    </oc>
    <nc r="G64">
      <f>10+7+12+8+15+15+4+12+8+8+7+12+7+15+6+6+8+7+5+15+10+3+10+10+5+5+15+5+20</f>
    </nc>
  </rcc>
  <rcc rId="13828" sId="4" numFmtId="4">
    <oc r="D233">
      <v>1</v>
    </oc>
    <nc r="D233">
      <v>2</v>
    </nc>
  </rcc>
  <rcc rId="13829" sId="4" numFmtId="4">
    <oc r="E233">
      <v>5</v>
    </oc>
    <nc r="E233">
      <f>5+5</f>
    </nc>
  </rcc>
  <rcc rId="13830" sId="4" numFmtId="4">
    <oc r="F233">
      <v>1</v>
    </oc>
    <nc r="F233">
      <v>2</v>
    </nc>
  </rcc>
  <rcc rId="13831" sId="4" numFmtId="4">
    <oc r="G233">
      <v>5</v>
    </oc>
    <nc r="G233">
      <v>10</v>
    </nc>
  </rcc>
  <rcc rId="13832" sId="4" numFmtId="4">
    <oc r="D36">
      <v>35</v>
    </oc>
    <nc r="D36">
      <v>37</v>
    </nc>
  </rcc>
  <rcc rId="13833" sId="4">
    <oc r="E36">
      <f>5+6+5+2+5+10+3+5+2+14+5+6+2+6+5+3+2.5+10+1+2+3+2+1.5+14+2.5+2+3+3+5+14.5+5+5+15+15+10</f>
    </oc>
    <nc r="E36">
      <f>5+6+5+2+5+10+3+5+2+14+5+6+2+6+5+3+2.5+10+1+2+3+2+1.5+14+2.5+2+3+3+5+14.5+5+5+15+15+10+10+15</f>
    </nc>
  </rcc>
  <rcc rId="13834" sId="4" numFmtId="4">
    <oc r="F36">
      <v>35</v>
    </oc>
    <nc r="F36">
      <v>37</v>
    </nc>
  </rcc>
  <rcc rId="13835" sId="4" numFmtId="4">
    <oc r="G36">
      <v>200</v>
    </oc>
    <nc r="G36">
      <v>225</v>
    </nc>
  </rcc>
  <rcc rId="13836" sId="4" numFmtId="4">
    <oc r="D75">
      <v>7</v>
    </oc>
    <nc r="D75">
      <v>8</v>
    </nc>
  </rcc>
  <rcc rId="13837" sId="4">
    <oc r="E75">
      <f>5+10+7+5+7+15+5</f>
    </oc>
    <nc r="E75">
      <f>5+10+7+5+7+15+5+15</f>
    </nc>
  </rcc>
  <rcc rId="13838" sId="4" numFmtId="4">
    <oc r="F75">
      <v>7</v>
    </oc>
    <nc r="F75">
      <v>8</v>
    </nc>
  </rcc>
  <rcc rId="13839" sId="4" numFmtId="4">
    <oc r="G75">
      <f>5+10+7+5+7+15+5</f>
    </oc>
    <nc r="G75">
      <v>69</v>
    </nc>
  </rcc>
  <rcc rId="13840" sId="4" numFmtId="4">
    <oc r="D65">
      <v>25</v>
    </oc>
    <nc r="D65">
      <v>27</v>
    </nc>
  </rcc>
  <rcc rId="13841" sId="4">
    <oc r="E65">
      <f>15+15+5+15+15+15+15+8+15+15+15+15+4.5+15+10+15+10+15+15+15+13+15+15+5+5</f>
    </oc>
    <nc r="E65">
      <f>15+15+5+15+15+15+15+8+15+15+15+15+4.5+15+10+15+10+15+15+15+13+15+15+5+5+10+5</f>
    </nc>
  </rcc>
  <rcc rId="13842" sId="4" numFmtId="4">
    <oc r="F65">
      <v>25</v>
    </oc>
    <nc r="F65">
      <v>27</v>
    </nc>
  </rcc>
  <rcc rId="13843" sId="4" numFmtId="4">
    <oc r="G65">
      <v>315.5</v>
    </oc>
    <nc r="G65">
      <v>330.5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12689" sId="4">
    <oc r="E39">
      <f>10+10+15+8</f>
    </oc>
    <nc r="E39">
      <f>10+10+15+8+15</f>
    </nc>
  </rcc>
  <rcc rId="12690" sId="4" numFmtId="4">
    <oc r="F39">
      <v>4</v>
    </oc>
    <nc r="F39">
      <v>5</v>
    </nc>
  </rcc>
  <rcc rId="12691" sId="4">
    <oc r="G39">
      <f>10+10+15+8</f>
    </oc>
    <nc r="G39">
      <f>10+10+15+8+15</f>
    </nc>
  </rcc>
  <rfmt sheetId="4" sqref="D39:E39" start="0" length="2147483647">
    <dxf>
      <font>
        <color auto="1"/>
      </font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5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13000" sId="4" numFmtId="4">
    <oc r="D91">
      <v>8</v>
    </oc>
    <nc r="D91">
      <v>9</v>
    </nc>
  </rcc>
  <rcc rId="13001" sId="4">
    <oc r="E91">
      <f>10+12+8+40+5+7+5+12</f>
    </oc>
    <nc r="E91">
      <f>10+12+8+40+5+7+5+12+5</f>
    </nc>
  </rcc>
  <rcc rId="13002" sId="4" numFmtId="4">
    <oc r="F91">
      <v>8</v>
    </oc>
    <nc r="F91">
      <v>9</v>
    </nc>
  </rcc>
  <rcc rId="13003" sId="4" numFmtId="4">
    <oc r="G91">
      <f>10+12+8+40+5+7+5+12</f>
    </oc>
    <nc r="G91">
      <v>104</v>
    </nc>
  </rcc>
  <rcc rId="13004" sId="4" numFmtId="4">
    <oc r="D37">
      <v>10</v>
    </oc>
    <nc r="D37">
      <v>11</v>
    </nc>
  </rcc>
  <rcc rId="13005" sId="4">
    <oc r="E37">
      <f>10+10+15+6+2+4+3+2+2.5+3</f>
    </oc>
    <nc r="E37">
      <f>10+10+15+6+2+4+3+2+2.5+3+5</f>
    </nc>
  </rcc>
  <rcc rId="13006" sId="4" numFmtId="4">
    <oc r="F37">
      <v>10</v>
    </oc>
    <nc r="F37">
      <v>11</v>
    </nc>
  </rcc>
  <rcc rId="13007" sId="4" numFmtId="4">
    <oc r="G37">
      <v>57.5</v>
    </oc>
    <nc r="G37">
      <v>62.5</v>
    </nc>
  </rcc>
  <rcc rId="13008" sId="4" numFmtId="4">
    <oc r="D140">
      <v>6</v>
    </oc>
    <nc r="D140">
      <v>9</v>
    </nc>
  </rcc>
  <rcc rId="13009" sId="4">
    <oc r="E140">
      <f>8+14+13+3+5+12</f>
    </oc>
    <nc r="E140">
      <f>8+14+13+3+5+12+5+5+5</f>
    </nc>
  </rcc>
  <rcc rId="13010" sId="4" numFmtId="4">
    <oc r="F140">
      <v>6</v>
    </oc>
    <nc r="F140">
      <v>9</v>
    </nc>
  </rcc>
  <rcc rId="13011" sId="4" numFmtId="4">
    <oc r="G140">
      <f>8+14+13+3+5+12</f>
    </oc>
    <nc r="G140">
      <v>70</v>
    </nc>
  </rcc>
  <rcc rId="13012" sId="3">
    <nc r="D174">
      <v>1</v>
    </nc>
  </rcc>
  <rcc rId="13013" sId="3">
    <nc r="E174">
      <v>15</v>
    </nc>
  </rcc>
  <rcc rId="13014" sId="3">
    <nc r="F174">
      <v>1</v>
    </nc>
  </rcc>
  <rcc rId="13015" sId="3">
    <nc r="G174">
      <v>15</v>
    </nc>
  </rcc>
  <rcc rId="13016" sId="3" numFmtId="4">
    <nc r="D70">
      <v>1</v>
    </nc>
  </rcc>
  <rcc rId="13017" sId="3" numFmtId="4">
    <nc r="E70">
      <v>15</v>
    </nc>
  </rcc>
  <rcc rId="13018" sId="3" numFmtId="4">
    <nc r="F70">
      <v>1</v>
    </nc>
  </rcc>
  <rcc rId="13019" sId="3" numFmtId="4">
    <nc r="G70">
      <v>15</v>
    </nc>
  </rcc>
  <rcc rId="13020" sId="3" numFmtId="4">
    <oc r="D110">
      <v>2</v>
    </oc>
    <nc r="D110">
      <v>3</v>
    </nc>
  </rcc>
  <rcc rId="13021" sId="3">
    <oc r="E110">
      <f>30+60</f>
    </oc>
    <nc r="E110">
      <f>30+60+20</f>
    </nc>
  </rcc>
  <rcc rId="13022" sId="3" numFmtId="4">
    <oc r="F110">
      <v>2</v>
    </oc>
    <nc r="F110">
      <v>3</v>
    </nc>
  </rcc>
  <rcc rId="13023" sId="3" numFmtId="4">
    <oc r="G110">
      <v>90</v>
    </oc>
    <nc r="G110">
      <v>110</v>
    </nc>
  </rcc>
  <rcc rId="13024" sId="3" numFmtId="4">
    <oc r="D105">
      <v>9</v>
    </oc>
    <nc r="D105">
      <v>11</v>
    </nc>
  </rcc>
  <rcc rId="13025" sId="3">
    <oc r="E105">
      <f>350+130+70+160+200+65+8+10+160</f>
    </oc>
    <nc r="E105">
      <f>350+130+70+160+200+65+8+10+160+15+200</f>
    </nc>
  </rcc>
  <rcc rId="13026" sId="3" numFmtId="4">
    <oc r="F105">
      <v>9</v>
    </oc>
    <nc r="F105">
      <v>11</v>
    </nc>
  </rcc>
  <rcc rId="13027" sId="3" numFmtId="4">
    <oc r="G105">
      <v>1153</v>
    </oc>
    <nc r="G105">
      <v>1368</v>
    </nc>
  </rcc>
  <rcc rId="13028" sId="4" numFmtId="4">
    <oc r="D182">
      <v>5</v>
    </oc>
    <nc r="D182">
      <v>6</v>
    </nc>
  </rcc>
  <rcc rId="13029" sId="4">
    <oc r="E182">
      <f>15+4+10+8+8</f>
    </oc>
    <nc r="E182">
      <f>15+4+10+8+8+15</f>
    </nc>
  </rcc>
  <rcc rId="13030" sId="4" numFmtId="4">
    <oc r="F182">
      <v>5</v>
    </oc>
    <nc r="F182">
      <v>6</v>
    </nc>
  </rcc>
  <rcc rId="13031" sId="4" numFmtId="4">
    <oc r="G182">
      <v>45</v>
    </oc>
    <nc r="G182">
      <v>60</v>
    </nc>
  </rcc>
  <rcc rId="13032" sId="4" numFmtId="4">
    <oc r="D27">
      <v>3</v>
    </oc>
    <nc r="D27">
      <v>4</v>
    </nc>
  </rcc>
  <rcc rId="13033" sId="4">
    <oc r="E27">
      <f>15+10+50</f>
    </oc>
    <nc r="E27">
      <f>15+10+50+7</f>
    </nc>
  </rcc>
  <rcc rId="13034" sId="4" numFmtId="4">
    <oc r="F27">
      <v>3</v>
    </oc>
    <nc r="F27">
      <v>4</v>
    </nc>
  </rcc>
  <rcc rId="13035" sId="4" numFmtId="4">
    <oc r="G27">
      <f>15+10+50</f>
    </oc>
    <nc r="G27">
      <v>82</v>
    </nc>
  </rcc>
  <rcc rId="13036" sId="4" numFmtId="4">
    <oc r="D172">
      <v>6</v>
    </oc>
    <nc r="D172">
      <v>7</v>
    </nc>
  </rcc>
  <rcc rId="13037" sId="4">
    <oc r="E172">
      <f>5+5+5+3+3+3</f>
    </oc>
    <nc r="E172">
      <f>5+5+5+3+3+3+15</f>
    </nc>
  </rcc>
  <rcc rId="13038" sId="4" numFmtId="4">
    <oc r="F172">
      <v>6</v>
    </oc>
    <nc r="F172">
      <v>7</v>
    </nc>
  </rcc>
  <rcc rId="13039" sId="4" numFmtId="4">
    <oc r="G172">
      <f>5+5+5+3+3+3</f>
    </oc>
    <nc r="G172">
      <v>39</v>
    </nc>
  </rcc>
  <rcc rId="13040" sId="4" numFmtId="4">
    <oc r="D207">
      <v>8</v>
    </oc>
    <nc r="D207">
      <v>10</v>
    </nc>
  </rcc>
  <rcc rId="13041" sId="4">
    <oc r="E207">
      <f>5+7.4+10+25+5+10+15+3</f>
    </oc>
    <nc r="E207">
      <f>5+7.4+10+25+5+10+15+3+10+5</f>
    </nc>
  </rcc>
  <rcc rId="13042" sId="4" numFmtId="4">
    <oc r="F207">
      <v>8</v>
    </oc>
    <nc r="F207">
      <v>10</v>
    </nc>
  </rcc>
  <rcc rId="13043" sId="4" numFmtId="4">
    <oc r="G207">
      <v>80.400000000000006</v>
    </oc>
    <nc r="G207">
      <v>95.4</v>
    </nc>
  </rcc>
  <rcc rId="13044" sId="4" numFmtId="4">
    <oc r="D64">
      <v>19</v>
    </oc>
    <nc r="D64">
      <v>21</v>
    </nc>
  </rcc>
  <rcc rId="13045" sId="4">
    <oc r="E64">
      <f>10+7+12+8+15+15+4+12+8+8+7+12+7+15+6+6+8+7+5</f>
    </oc>
    <nc r="E64">
      <f>10+7+12+8+15+15+4+12+8+8+7+12+7+15+6+6+8+7+5+15+10</f>
    </nc>
  </rcc>
  <rcc rId="13046" sId="4" numFmtId="4">
    <oc r="F64">
      <v>19</v>
    </oc>
    <nc r="F64">
      <v>21</v>
    </nc>
  </rcc>
  <rcc rId="13047" sId="4" numFmtId="4">
    <oc r="G64">
      <f>10+7+12+8+15+15+4+12+8+8+7+12+7+15+6+6+8+7+5</f>
    </oc>
    <nc r="G64">
      <v>197</v>
    </nc>
  </rcc>
  <rcc rId="13048" sId="4" numFmtId="4">
    <oc r="D65">
      <v>19</v>
    </oc>
    <nc r="D65">
      <v>20</v>
    </nc>
  </rcc>
  <rcc rId="13049" sId="4">
    <oc r="E65">
      <f>15+15+5+15+15+15+15+8+15+15+15+15+4.5+15+10+15+10+15+15</f>
    </oc>
    <nc r="E65">
      <f>15+15+5+15+15+15+15+8+15+15+15+15+4.5+15+10+15+10+15+15+15</f>
    </nc>
  </rcc>
  <rcc rId="13050" sId="4" numFmtId="4">
    <oc r="F65">
      <v>19</v>
    </oc>
    <nc r="F65">
      <v>20</v>
    </nc>
  </rcc>
  <rcc rId="13051" sId="4" numFmtId="4">
    <oc r="G65">
      <f>15+15+5+15+15+15+15+8+15+15+15+15+4.5+15+10+15+10+15+15</f>
    </oc>
    <nc r="G65">
      <v>262.5</v>
    </nc>
  </rcc>
  <rcc rId="13052" sId="4" numFmtId="4">
    <oc r="D30">
      <v>3</v>
    </oc>
    <nc r="D30">
      <v>5</v>
    </nc>
  </rcc>
  <rcc rId="13053" sId="4">
    <oc r="E30">
      <f>8+8+8</f>
    </oc>
    <nc r="E30">
      <f>8+8+8+6+15</f>
    </nc>
  </rcc>
  <rcc rId="13054" sId="4" numFmtId="4">
    <oc r="F30">
      <v>3</v>
    </oc>
    <nc r="F30">
      <v>5</v>
    </nc>
  </rcc>
  <rcc rId="13055" sId="4" numFmtId="4">
    <oc r="G30">
      <v>24</v>
    </oc>
    <nc r="G30">
      <v>45</v>
    </nc>
  </rcc>
  <rcc rId="13056" sId="4" numFmtId="4">
    <oc r="D143">
      <v>2</v>
    </oc>
    <nc r="D143">
      <v>3</v>
    </nc>
  </rcc>
  <rcc rId="13057" sId="4">
    <oc r="E143">
      <f>14+12</f>
    </oc>
    <nc r="E143">
      <f>14+12+8</f>
    </nc>
  </rcc>
  <rcc rId="13058" sId="4" numFmtId="4">
    <oc r="F143">
      <v>2</v>
    </oc>
    <nc r="F143">
      <v>3</v>
    </nc>
  </rcc>
  <rcc rId="13059" sId="4" numFmtId="4">
    <oc r="G143">
      <f>14+12</f>
    </oc>
    <nc r="G143">
      <v>34</v>
    </nc>
  </rcc>
  <rcc rId="13060" sId="3" numFmtId="4">
    <nc r="D87">
      <v>1</v>
    </nc>
  </rcc>
  <rcc rId="13061" sId="3" numFmtId="4">
    <nc r="E87">
      <v>15</v>
    </nc>
  </rcc>
  <rcc rId="13062" sId="3" numFmtId="4">
    <nc r="F87">
      <v>1</v>
    </nc>
  </rcc>
  <rcc rId="13063" sId="3" numFmtId="4">
    <nc r="G87">
      <v>15</v>
    </nc>
  </rcc>
  <rcc rId="13064" sId="3" numFmtId="4">
    <oc r="D33">
      <v>1</v>
    </oc>
    <nc r="D33">
      <v>2</v>
    </nc>
  </rcc>
  <rcc rId="13065" sId="3" numFmtId="4">
    <oc r="E33">
      <v>60</v>
    </oc>
    <nc r="E33">
      <f>60+48</f>
    </nc>
  </rcc>
  <rcc rId="13066" sId="3" numFmtId="4">
    <oc r="F33">
      <v>1</v>
    </oc>
    <nc r="F33">
      <v>2</v>
    </nc>
  </rcc>
  <rcc rId="13067" sId="3" numFmtId="4">
    <oc r="G33">
      <v>60</v>
    </oc>
    <nc r="G33">
      <v>108</v>
    </nc>
  </rcc>
  <rcc rId="13068" sId="3" numFmtId="4">
    <nc r="D43">
      <v>1</v>
    </nc>
  </rcc>
  <rcc rId="13069" sId="3" numFmtId="4">
    <nc r="E43">
      <v>180</v>
    </nc>
  </rcc>
  <rcc rId="13070" sId="3" numFmtId="4">
    <nc r="F43">
      <v>1</v>
    </nc>
  </rcc>
  <rcc rId="13071" sId="3" numFmtId="4">
    <nc r="G43">
      <v>180</v>
    </nc>
  </rcc>
  <rcc rId="13072" sId="3" numFmtId="4">
    <oc r="D198">
      <v>5</v>
    </oc>
    <nc r="D198">
      <v>6</v>
    </nc>
  </rcc>
  <rcc rId="13073" sId="3">
    <oc r="E198">
      <f>40+15+15+200+60</f>
    </oc>
    <nc r="E198">
      <f>40+15+15+200+60+15</f>
    </nc>
  </rcc>
  <rcc rId="13074" sId="3" numFmtId="4">
    <oc r="F198">
      <v>5</v>
    </oc>
    <nc r="F198">
      <v>6</v>
    </nc>
  </rcc>
  <rcc rId="13075" sId="3" numFmtId="4">
    <oc r="G198">
      <f>40+15+15+200+60</f>
    </oc>
    <nc r="G198">
      <v>345</v>
    </nc>
  </rcc>
  <rcc rId="13076" sId="3" numFmtId="4">
    <oc r="D30">
      <v>3</v>
    </oc>
    <nc r="D30">
      <v>6</v>
    </nc>
  </rcc>
  <rcc rId="13077" sId="3">
    <oc r="E30">
      <f>30+4.4+15</f>
    </oc>
    <nc r="E30">
      <f>30+4.4+15+10+30+15</f>
    </nc>
  </rcc>
  <rcc rId="13078" sId="3" numFmtId="4">
    <oc r="F30">
      <v>3</v>
    </oc>
    <nc r="F30">
      <v>6</v>
    </nc>
  </rcc>
  <rcc rId="13079" sId="3" numFmtId="4">
    <oc r="G30">
      <v>49.4</v>
    </oc>
    <nc r="G30">
      <v>104.4</v>
    </nc>
  </rcc>
  <rcc rId="13080" sId="3" numFmtId="4">
    <oc r="D217">
      <v>1</v>
    </oc>
    <nc r="D217">
      <v>2</v>
    </nc>
  </rcc>
  <rcc rId="13081" sId="3" numFmtId="4">
    <oc r="E217">
      <v>320</v>
    </oc>
    <nc r="E217">
      <f>320+5</f>
    </nc>
  </rcc>
  <rcc rId="13082" sId="3" numFmtId="4">
    <oc r="F217">
      <v>1</v>
    </oc>
    <nc r="F217">
      <v>2</v>
    </nc>
  </rcc>
  <rcc rId="13083" sId="3" numFmtId="4">
    <oc r="G217">
      <v>320</v>
    </oc>
    <nc r="G217">
      <v>325</v>
    </nc>
  </rcc>
  <rcc rId="13084" sId="3" numFmtId="4">
    <oc r="D48">
      <v>6</v>
    </oc>
    <nc r="D48">
      <v>7</v>
    </nc>
  </rcc>
  <rcc rId="13085" sId="3">
    <oc r="E48">
      <f>100+170+100+60+160+63</f>
    </oc>
    <nc r="E48">
      <f>100+170+100+60+160+63+80</f>
    </nc>
  </rcc>
  <rcc rId="13086" sId="3" numFmtId="4">
    <oc r="F48">
      <v>6</v>
    </oc>
    <nc r="F48">
      <v>7</v>
    </nc>
  </rcc>
  <rcc rId="13087" sId="3" numFmtId="4">
    <oc r="G48">
      <v>653</v>
    </oc>
    <nc r="G48">
      <v>733</v>
    </nc>
  </rcc>
  <rcc rId="13088" sId="4">
    <oc r="E223">
      <f>10+8+2</f>
    </oc>
    <nc r="E223">
      <f>10+8+2+10+8</f>
    </nc>
  </rcc>
  <rcc rId="13089" sId="4" numFmtId="4">
    <oc r="F223">
      <v>3</v>
    </oc>
    <nc r="F223">
      <v>5</v>
    </nc>
  </rcc>
  <rcc rId="13090" sId="4" numFmtId="4">
    <oc r="G223">
      <f>10+8+2</f>
    </oc>
    <nc r="G223">
      <v>38</v>
    </nc>
  </rcc>
  <rcc rId="13091" sId="4" numFmtId="4">
    <oc r="D223">
      <v>3</v>
    </oc>
    <nc r="D223">
      <v>5</v>
    </nc>
  </rcc>
  <rcc rId="13092" sId="4" numFmtId="4">
    <oc r="D109">
      <v>16</v>
    </oc>
    <nc r="D109">
      <v>17</v>
    </nc>
  </rcc>
  <rcc rId="13093" sId="4">
    <oc r="E109">
      <f>50+10+5+5+5+10+5+10+13+5+7+10+5+5+5+5</f>
    </oc>
    <nc r="E109">
      <f>50+10+5+5+5+10+5+10+13+5+7+10+5+5+5+5+11</f>
    </nc>
  </rcc>
  <rcc rId="13094" sId="4" numFmtId="4">
    <oc r="F109">
      <v>16</v>
    </oc>
    <nc r="F109">
      <v>17</v>
    </nc>
  </rcc>
  <rcc rId="13095" sId="4" numFmtId="4">
    <oc r="G109">
      <f>50+10+5+5+5+10+5+10+13+5+7+10+5+5+5+5</f>
    </oc>
    <nc r="G109">
      <v>166</v>
    </nc>
  </rcc>
  <rcc rId="13096" sId="4" numFmtId="4">
    <nc r="D85">
      <v>1</v>
    </nc>
  </rcc>
  <rcc rId="13097" sId="4" numFmtId="4">
    <nc r="E85">
      <v>5</v>
    </nc>
  </rcc>
  <rcc rId="13098" sId="4" numFmtId="4">
    <nc r="F85">
      <v>1</v>
    </nc>
  </rcc>
  <rcc rId="13099" sId="4" numFmtId="4">
    <nc r="G85">
      <v>5</v>
    </nc>
  </rcc>
  <rcc rId="13100" sId="4" numFmtId="4">
    <oc r="D195">
      <v>1</v>
    </oc>
    <nc r="D195">
      <v>2</v>
    </nc>
  </rcc>
  <rcc rId="13101" sId="4" numFmtId="4">
    <oc r="E195">
      <v>15</v>
    </oc>
    <nc r="E195">
      <f>15+7</f>
    </nc>
  </rcc>
  <rcc rId="13102" sId="4" numFmtId="4">
    <oc r="F195">
      <v>1</v>
    </oc>
    <nc r="F195">
      <v>2</v>
    </nc>
  </rcc>
  <rcc rId="13103" sId="4" numFmtId="4">
    <oc r="G195">
      <v>15</v>
    </oc>
    <nc r="G195">
      <v>22</v>
    </nc>
  </rcc>
  <rcc rId="13104" sId="4" numFmtId="4">
    <oc r="D127">
      <v>4</v>
    </oc>
    <nc r="D127">
      <v>5</v>
    </nc>
  </rcc>
  <rcc rId="13105" sId="4">
    <oc r="E127">
      <f>15+14+13+10</f>
    </oc>
    <nc r="E127">
      <f>15+14+13+10+7</f>
    </nc>
  </rcc>
  <rcc rId="13106" sId="4" numFmtId="4">
    <oc r="F127">
      <v>4</v>
    </oc>
    <nc r="F127">
      <v>5</v>
    </nc>
  </rcc>
  <rcc rId="13107" sId="4" numFmtId="4">
    <oc r="G127">
      <v>52</v>
    </oc>
    <nc r="G127">
      <v>59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13399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nc>
  </rcc>
  <rcc rId="13400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nc>
    <odxf/>
    <ndxf/>
  </rcc>
  <rfmt sheetId="3" sqref="C14" start="0" length="0">
    <dxf/>
  </rfmt>
  <rfmt sheetId="3" sqref="D14" start="0" length="0">
    <dxf/>
  </rfmt>
  <rfmt sheetId="3" sqref="E14" start="0" length="0">
    <dxf/>
  </rfmt>
  <rfmt sheetId="3" sqref="F14" start="0" length="0">
    <dxf/>
  </rfmt>
  <rfmt sheetId="3" sqref="G14" start="0" length="0">
    <dxf/>
  </rfmt>
  <rfmt sheetId="3" sqref="H14" start="0" length="0">
    <dxf/>
  </rfmt>
  <rfmt sheetId="3" sqref="I14" start="0" length="0">
    <dxf/>
  </rfmt>
  <rfmt sheetId="3" sqref="J14" start="0" length="0">
    <dxf/>
  </rfmt>
  <rfmt sheetId="3" sqref="K14" start="0" length="0">
    <dxf/>
  </rfmt>
  <rfmt sheetId="3" sqref="L14" start="0" length="0">
    <dxf/>
  </rfmt>
  <rfmt sheetId="3" sqref="M14" start="0" length="0">
    <dxf/>
  </rfmt>
  <rcc rId="13401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июнь 2014г.</t>
      </is>
    </nc>
    <odxf/>
    <ndxf/>
  </rcc>
  <rfmt sheetId="4" sqref="C14" start="0" length="0">
    <dxf/>
  </rfmt>
  <rfmt sheetId="4" sqref="D14" start="0" length="0">
    <dxf/>
  </rfmt>
  <rfmt sheetId="4" sqref="E14" start="0" length="0">
    <dxf/>
  </rfmt>
  <rfmt sheetId="4" sqref="F14" start="0" length="0">
    <dxf/>
  </rfmt>
  <rfmt sheetId="4" sqref="G14" start="0" length="0">
    <dxf/>
  </rfmt>
  <rfmt sheetId="4" sqref="H14" start="0" length="0">
    <dxf/>
  </rfmt>
  <rfmt sheetId="4" sqref="I14" start="0" length="0">
    <dxf/>
  </rfmt>
  <rfmt sheetId="4" sqref="J14" start="0" length="0">
    <dxf/>
  </rfmt>
  <rfmt sheetId="4" sqref="K14" start="0" length="0">
    <dxf/>
  </rfmt>
  <rfmt sheetId="4" sqref="L14" start="0" length="0">
    <dxf/>
  </rfmt>
  <rfmt sheetId="4" sqref="M14" start="0" length="0">
    <dxf/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  <rsnm rId="13408" sheetId="1" oldName="[июнь1 Сводная по поданным заявкам и заключенным договорам с присоединенной мощностью за май_2014.xlsx]май 2014г" newName="[июнь1 Сводная по поданным заявкам и заключенным договорам с присоединенной мощностью за май_2014.xlsx]июнь 2014г"/>
  <rsnm rId="13409" sheetId="3" oldName="[июнь1 Сводная по поданным заявкам и заключенным договорам с присоединенной мощностью за май_2014.xlsx]май 2014г. по 6-10" newName="[июнь1 Сводная по поданным заявкам и заключенным договорам с присоединенной мощностью за май_2014.xlsx]июнь 2014г. по 6-10"/>
  <rsnm rId="13410" sheetId="4" oldName="[июнь1 Сводная по поданным заявкам и заключенным договорам с присоединенной мощностью за май_2014.xlsx]май 2014г. по 0,4" newName="[июнь1 Сводная по поданным заявкам и заключенным договорам с присоединенной мощностью за май_2014.xlsx]июнь 2014г. по 0,4"/>
</revisions>
</file>

<file path=xl/revisions/revisionLog113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421.xml><?xml version="1.0" encoding="utf-8"?>
<revisions xmlns="http://schemas.openxmlformats.org/spreadsheetml/2006/main" xmlns:r="http://schemas.openxmlformats.org/officeDocument/2006/relationships">
  <rcc rId="12858" sId="4">
    <oc r="D33">
      <v>18</v>
    </oc>
    <nc r="D33">
      <v>19</v>
    </nc>
  </rcc>
  <rcc rId="12859" sId="4">
    <oc r="E33">
      <f>5.5+15+6+4+10+10+6+6+15+10+8+5+6+5+4+12+12+5</f>
    </oc>
    <nc r="E33">
      <f>5.5+15+6+4+10+10+6+6+15+10+8+5+6+5+4+12+12+5+5</f>
    </nc>
  </rcc>
  <rcc rId="12860" sId="4">
    <oc r="F33">
      <v>18</v>
    </oc>
    <nc r="F33">
      <v>19</v>
    </nc>
  </rcc>
  <rcc rId="12861" sId="4">
    <oc r="G33">
      <v>144.5</v>
    </oc>
    <nc r="G33">
      <v>149.5</v>
    </nc>
  </rcc>
  <rcc rId="12862" sId="4" numFmtId="4">
    <oc r="D36">
      <v>31</v>
    </oc>
    <nc r="D36">
      <v>32</v>
    </nc>
  </rcc>
  <rcc rId="12863" sId="4">
    <oc r="E36">
      <f>5+6+5+2+5+10+3+5+2+14+5+6+2+6+5+3+2.5+10+1+2+3+2+1.5+14+2.5+2+3+3+5+14.5+5</f>
    </oc>
    <nc r="E36">
      <f>5+6+5+2+5+10+3+5+2+14+5+6+2+6+5+3+2.5+10+1+2+3+2+1.5+14+2.5+2+3+3+5+14.5+5+5</f>
    </nc>
  </rcc>
  <rcc rId="12864" sId="4" numFmtId="4">
    <oc r="F36">
      <v>31</v>
    </oc>
    <nc r="F36">
      <v>32</v>
    </nc>
  </rcc>
  <rcc rId="12865" sId="4" numFmtId="4">
    <oc r="G36">
      <v>155</v>
    </oc>
    <nc r="G36">
      <v>160</v>
    </nc>
  </rcc>
  <rcc rId="12866" sId="4" numFmtId="4">
    <oc r="D52">
      <v>1</v>
    </oc>
    <nc r="D52">
      <v>2</v>
    </nc>
  </rcc>
  <rcc rId="12867" sId="4" numFmtId="4">
    <oc r="E52">
      <v>4</v>
    </oc>
    <nc r="E52">
      <f>4+20</f>
    </nc>
  </rcc>
  <rcc rId="12868" sId="4" numFmtId="4">
    <oc r="F52">
      <v>1</v>
    </oc>
    <nc r="F52">
      <v>2</v>
    </nc>
  </rcc>
  <rcc rId="12869" sId="4" numFmtId="4">
    <oc r="G52">
      <v>4</v>
    </oc>
    <nc r="G52">
      <v>24</v>
    </nc>
  </rcc>
  <rcc rId="12870" sId="4" numFmtId="4">
    <oc r="D121">
      <v>3</v>
    </oc>
    <nc r="D121">
      <v>4</v>
    </nc>
  </rcc>
  <rcc rId="12871" sId="4">
    <oc r="E121">
      <f>3+5+7</f>
    </oc>
    <nc r="E121">
      <f>3+5+7+15</f>
    </nc>
  </rcc>
  <rcc rId="12872" sId="4" numFmtId="4">
    <oc r="F121">
      <v>3</v>
    </oc>
    <nc r="F121">
      <v>4</v>
    </nc>
  </rcc>
  <rcc rId="12873" sId="4" numFmtId="4">
    <oc r="G121">
      <v>15</v>
    </oc>
    <nc r="G121">
      <v>30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422.xml><?xml version="1.0" encoding="utf-8"?>
<revisions xmlns="http://schemas.openxmlformats.org/spreadsheetml/2006/main" xmlns:r="http://schemas.openxmlformats.org/officeDocument/2006/relationships">
  <rcc rId="13306" sId="4" numFmtId="4">
    <nc r="D237">
      <v>1</v>
    </nc>
  </rcc>
  <rcc rId="13307" sId="4" numFmtId="4">
    <nc r="E237">
      <v>15</v>
    </nc>
  </rcc>
  <rcc rId="13308" sId="4" numFmtId="4">
    <nc r="F237">
      <v>1</v>
    </nc>
  </rcc>
  <rcc rId="13309" sId="4" numFmtId="4">
    <nc r="G237">
      <v>15</v>
    </nc>
  </rcc>
  <rcc rId="13310" sId="4" numFmtId="4">
    <oc r="D68">
      <v>4</v>
    </oc>
    <nc r="D68">
      <v>5</v>
    </nc>
  </rcc>
  <rcc rId="13311" sId="4">
    <oc r="E68">
      <f>15+5+5+15</f>
    </oc>
    <nc r="E68">
      <f>15+5+5+15+6</f>
    </nc>
  </rcc>
  <rcc rId="13312" sId="4" numFmtId="4">
    <oc r="F68">
      <v>4</v>
    </oc>
    <nc r="F68">
      <v>5</v>
    </nc>
  </rcc>
  <rcc rId="13313" sId="4" numFmtId="4">
    <oc r="G68">
      <f>15+5+5+15</f>
    </oc>
    <nc r="G68">
      <v>46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43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721.xml><?xml version="1.0" encoding="utf-8"?>
<revisions xmlns="http://schemas.openxmlformats.org/spreadsheetml/2006/main" xmlns:r="http://schemas.openxmlformats.org/officeDocument/2006/relationships">
  <rcc rId="13114" sId="4" numFmtId="4">
    <oc r="D102">
      <v>9</v>
    </oc>
    <nc r="D102">
      <v>12</v>
    </nc>
  </rcc>
  <rcc rId="13115" sId="4">
    <oc r="E102">
      <f>4+5+13+8+160+10+5+14+10</f>
    </oc>
    <nc r="E102">
      <f>4+5+13+8+160+10+5+14+10+3+5+6</f>
    </nc>
  </rcc>
  <rcc rId="13116" sId="4" numFmtId="4">
    <oc r="F102">
      <v>9</v>
    </oc>
    <nc r="F102">
      <v>12</v>
    </nc>
  </rcc>
  <rcc rId="13117" sId="4" numFmtId="4">
    <oc r="G102">
      <v>229</v>
    </oc>
    <nc r="G102">
      <v>243</v>
    </nc>
  </rcc>
  <rcc rId="13118" sId="3" numFmtId="4">
    <oc r="D120">
      <v>1</v>
    </oc>
    <nc r="D120">
      <v>2</v>
    </nc>
  </rcc>
  <rcc rId="13119" sId="3" numFmtId="4">
    <oc r="E120">
      <v>15</v>
    </oc>
    <nc r="E120">
      <f>15+200</f>
    </nc>
  </rcc>
  <rcc rId="13120" sId="3" numFmtId="4">
    <oc r="F120">
      <v>1</v>
    </oc>
    <nc r="F120">
      <v>2</v>
    </nc>
  </rcc>
  <rcc rId="13121" sId="3" numFmtId="4">
    <oc r="G120">
      <v>15</v>
    </oc>
    <nc r="G120">
      <v>215</v>
    </nc>
  </rcc>
  <rcc rId="13122" sId="3" numFmtId="4">
    <oc r="D198">
      <v>6</v>
    </oc>
    <nc r="D198">
      <v>7</v>
    </nc>
  </rcc>
  <rcc rId="13123" sId="3">
    <oc r="E198">
      <f>40+15+15+200+60+15</f>
    </oc>
    <nc r="E198">
      <f>40+15+15+200+60+15+420</f>
    </nc>
  </rcc>
  <rcc rId="13124" sId="3" numFmtId="4">
    <oc r="F198">
      <v>6</v>
    </oc>
    <nc r="F198">
      <v>7</v>
    </nc>
  </rcc>
  <rcc rId="13125" sId="3" numFmtId="4">
    <oc r="G198">
      <v>345</v>
    </oc>
    <nc r="G198">
      <v>765</v>
    </nc>
  </rcc>
  <rcc rId="13126" sId="3" numFmtId="4">
    <oc r="D115">
      <v>5</v>
    </oc>
    <nc r="D115">
      <v>6</v>
    </nc>
  </rcc>
  <rcc rId="13127" sId="3">
    <oc r="E115">
      <f>30+160+131+15+160</f>
    </oc>
    <nc r="E115">
      <f>30+160+131+15+160+170</f>
    </nc>
  </rcc>
  <rcc rId="13128" sId="3" numFmtId="4">
    <oc r="F115">
      <v>5</v>
    </oc>
    <nc r="F115">
      <v>6</v>
    </nc>
  </rcc>
  <rcc rId="13129" sId="3" numFmtId="4">
    <oc r="G115">
      <v>496</v>
    </oc>
    <nc r="G115">
      <v>666</v>
    </nc>
  </rcc>
  <rcc rId="13130" sId="3" numFmtId="4">
    <oc r="D43">
      <v>1</v>
    </oc>
    <nc r="D43">
      <v>3</v>
    </nc>
  </rcc>
  <rcc rId="13131" sId="3" numFmtId="4">
    <oc r="E43">
      <v>180</v>
    </oc>
    <nc r="E43">
      <f>180+100+100</f>
    </nc>
  </rcc>
  <rcc rId="13132" sId="3" numFmtId="4">
    <oc r="F43">
      <v>1</v>
    </oc>
    <nc r="F43">
      <v>3</v>
    </nc>
  </rcc>
  <rcc rId="13133" sId="3" numFmtId="4">
    <oc r="G43">
      <v>180</v>
    </oc>
    <nc r="G43">
      <v>380</v>
    </nc>
  </rcc>
  <rcc rId="13134" sId="4" numFmtId="4">
    <oc r="D242">
      <v>1</v>
    </oc>
    <nc r="D242">
      <v>4</v>
    </nc>
  </rcc>
  <rcc rId="13135" sId="4">
    <oc r="E242">
      <f>8</f>
    </oc>
    <nc r="E242">
      <f>8+10+20+10</f>
    </nc>
  </rcc>
  <rcc rId="13136" sId="4" numFmtId="4">
    <oc r="F242">
      <v>1</v>
    </oc>
    <nc r="F242">
      <v>4</v>
    </nc>
  </rcc>
  <rcc rId="13137" sId="4" numFmtId="4">
    <oc r="G242">
      <f>8</f>
    </oc>
    <nc r="G242">
      <v>48</v>
    </nc>
  </rcc>
  <rcc rId="13138" sId="4" numFmtId="4">
    <oc r="D29">
      <v>9</v>
    </oc>
    <nc r="D29">
      <v>10</v>
    </nc>
  </rcc>
  <rcc rId="13139" sId="4">
    <oc r="E29">
      <f>10+8+8+5+8+10+5+10+7</f>
    </oc>
    <nc r="E29">
      <f>10+8+8+5+8+10+5+10+7+15</f>
    </nc>
  </rcc>
  <rcc rId="13140" sId="4" numFmtId="4">
    <oc r="F29">
      <v>9</v>
    </oc>
    <nc r="F29">
      <v>10</v>
    </nc>
  </rcc>
  <rcc rId="13141" sId="4" numFmtId="4">
    <oc r="G29">
      <v>71</v>
    </oc>
    <nc r="G29">
      <v>86</v>
    </nc>
  </rcc>
  <rcc rId="13142" sId="4" numFmtId="4">
    <nc r="D70">
      <v>2</v>
    </nc>
  </rcc>
  <rcc rId="13143" sId="4">
    <nc r="E70">
      <f>2.5+7</f>
    </nc>
  </rcc>
  <rcc rId="13144" sId="4" numFmtId="4">
    <nc r="F70">
      <v>2</v>
    </nc>
  </rcc>
  <rcc rId="13145" sId="4" numFmtId="4">
    <nc r="G70">
      <v>9.5</v>
    </nc>
  </rcc>
  <rcc rId="13146" sId="3" numFmtId="4">
    <oc r="D91">
      <v>1</v>
    </oc>
    <nc r="D91">
      <v>2</v>
    </nc>
  </rcc>
  <rcc rId="13147" sId="3" numFmtId="4">
    <oc r="E91">
      <v>10</v>
    </oc>
    <nc r="E91">
      <f>10+10</f>
    </nc>
  </rcc>
  <rcc rId="13148" sId="3" numFmtId="4">
    <oc r="F91">
      <v>1</v>
    </oc>
    <nc r="F91">
      <v>2</v>
    </nc>
  </rcc>
  <rcc rId="13149" sId="3" numFmtId="4">
    <oc r="G91">
      <v>10</v>
    </oc>
    <nc r="G91">
      <v>20</v>
    </nc>
  </rcc>
  <rcc rId="13150" sId="3" numFmtId="4">
    <nc r="D73">
      <v>1</v>
    </nc>
  </rcc>
  <rcc rId="13151" sId="3" numFmtId="4">
    <nc r="E73">
      <v>10</v>
    </nc>
  </rcc>
  <rcc rId="13152" sId="3" numFmtId="4">
    <nc r="F73">
      <v>1</v>
    </nc>
  </rcc>
  <rcc rId="13153" sId="3" numFmtId="4">
    <nc r="G73">
      <v>10</v>
    </nc>
  </rcc>
  <rcc rId="13154" sId="3" numFmtId="4">
    <nc r="D99">
      <v>1</v>
    </nc>
  </rcc>
  <rcc rId="13155" sId="3" numFmtId="4">
    <nc r="E99">
      <v>10</v>
    </nc>
  </rcc>
  <rcc rId="13156" sId="3" numFmtId="4">
    <nc r="F99">
      <v>1</v>
    </nc>
  </rcc>
  <rcc rId="13157" sId="3" numFmtId="4">
    <nc r="G99">
      <v>10</v>
    </nc>
  </rcc>
  <rcc rId="13158" sId="3" numFmtId="4">
    <oc r="D35">
      <v>5</v>
    </oc>
    <nc r="D35">
      <v>7</v>
    </nc>
  </rcc>
  <rcc rId="13159" sId="3">
    <oc r="E35">
      <f>15+100+25+20+20</f>
    </oc>
    <nc r="E35">
      <f>15+100+25+20+20+25+160</f>
    </nc>
  </rcc>
  <rcc rId="13160" sId="3" numFmtId="4">
    <oc r="F35">
      <v>5</v>
    </oc>
    <nc r="F35">
      <v>7</v>
    </nc>
  </rcc>
  <rcc rId="13161" sId="3" numFmtId="4">
    <oc r="G35">
      <v>180</v>
    </oc>
    <nc r="G35">
      <v>365</v>
    </nc>
  </rcc>
  <rcc rId="13162" sId="4" numFmtId="4">
    <nc r="D78">
      <v>1</v>
    </nc>
  </rcc>
  <rcc rId="13163" sId="4" numFmtId="4">
    <nc r="E78">
      <v>7</v>
    </nc>
  </rcc>
  <rcc rId="13164" sId="4" numFmtId="4">
    <nc r="F78">
      <v>1</v>
    </nc>
  </rcc>
  <rcc rId="13165" sId="4" numFmtId="4">
    <nc r="G78">
      <v>7</v>
    </nc>
  </rcc>
  <rcc rId="13166" sId="4" numFmtId="4">
    <oc r="D105">
      <v>7</v>
    </oc>
    <nc r="D105">
      <v>9</v>
    </nc>
  </rcc>
  <rcc rId="13167" sId="4">
    <oc r="E105">
      <f>5+70+5+13+5+5+8</f>
    </oc>
    <nc r="E105">
      <f>5+70+5+13+5+5+8+10+5</f>
    </nc>
  </rcc>
  <rcc rId="13168" sId="4" numFmtId="4">
    <oc r="F105">
      <v>7</v>
    </oc>
    <nc r="F105">
      <v>9</v>
    </nc>
  </rcc>
  <rcc rId="13169" sId="4" numFmtId="4">
    <oc r="G105">
      <v>111</v>
    </oc>
    <nc r="G105">
      <v>126</v>
    </nc>
  </rcc>
  <rcc rId="13170" sId="4" numFmtId="4">
    <oc r="D109">
      <v>17</v>
    </oc>
    <nc r="D109">
      <v>18</v>
    </nc>
  </rcc>
  <rcc rId="13171" sId="4">
    <oc r="E109">
      <f>50+10+5+5+5+10+5+10+13+5+7+10+5+5+5+5+11</f>
    </oc>
    <nc r="E109">
      <f>50+10+5+5+5+10+5+10+13+5+7+10+5+5+5+5+11+5</f>
    </nc>
  </rcc>
  <rcc rId="13172" sId="4" numFmtId="4">
    <oc r="F109">
      <v>17</v>
    </oc>
    <nc r="F109">
      <v>18</v>
    </nc>
  </rcc>
  <rcc rId="13173" sId="4" numFmtId="4">
    <oc r="G109">
      <v>166</v>
    </oc>
    <nc r="G109">
      <v>171</v>
    </nc>
  </rcc>
  <rcc rId="13174" sId="4" numFmtId="4">
    <oc r="D110">
      <v>4</v>
    </oc>
    <nc r="D110">
      <v>5</v>
    </nc>
  </rcc>
  <rcc rId="13175" sId="4">
    <oc r="E110">
      <f>6+4+5+5</f>
    </oc>
    <nc r="E110">
      <f>6+4+5+5+3</f>
    </nc>
  </rcc>
  <rcc rId="13176" sId="4" numFmtId="4">
    <oc r="F110">
      <v>4</v>
    </oc>
    <nc r="F110">
      <v>5</v>
    </nc>
  </rcc>
  <rcc rId="13177" sId="4" numFmtId="4">
    <oc r="G110">
      <f>6+4+5+5</f>
    </oc>
    <nc r="G110">
      <v>23</v>
    </nc>
  </rcc>
  <rcc rId="13178" sId="4" numFmtId="4">
    <oc r="D65">
      <v>20</v>
    </oc>
    <nc r="D65">
      <v>21</v>
    </nc>
  </rcc>
  <rcc rId="13179" sId="4">
    <oc r="E65">
      <f>15+15+5+15+15+15+15+8+15+15+15+15+4.5+15+10+15+10+15+15+15</f>
    </oc>
    <nc r="E65">
      <f>15+15+5+15+15+15+15+8+15+15+15+15+4.5+15+10+15+10+15+15+15+13</f>
    </nc>
  </rcc>
  <rcc rId="13180" sId="4" numFmtId="4">
    <oc r="F65">
      <v>20</v>
    </oc>
    <nc r="F65">
      <v>21</v>
    </nc>
  </rcc>
  <rcc rId="13181" sId="4" numFmtId="4">
    <oc r="G65">
      <v>262.5</v>
    </oc>
    <nc r="G65">
      <v>275.5</v>
    </nc>
  </rcc>
  <rcc rId="13182" sId="4" numFmtId="4">
    <oc r="D64">
      <v>21</v>
    </oc>
    <nc r="D64">
      <v>23</v>
    </nc>
  </rcc>
  <rcc rId="13183" sId="4">
    <oc r="E64">
      <f>10+7+12+8+15+15+4+12+8+8+7+12+7+15+6+6+8+7+5+15+10</f>
    </oc>
    <nc r="E64">
      <f>10+7+12+8+15+15+4+12+8+8+7+12+7+15+6+6+8+7+5+15+10+3+10</f>
    </nc>
  </rcc>
  <rcc rId="13184" sId="4" numFmtId="4">
    <oc r="F64">
      <v>21</v>
    </oc>
    <nc r="F64">
      <v>23</v>
    </nc>
  </rcc>
  <rcc rId="13185" sId="4" numFmtId="4">
    <oc r="G64">
      <v>197</v>
    </oc>
    <nc r="G64">
      <v>210</v>
    </nc>
  </rcc>
  <rcc rId="13186" sId="3" numFmtId="4">
    <oc r="D112">
      <v>3</v>
    </oc>
    <nc r="D112">
      <v>4</v>
    </nc>
  </rcc>
  <rcc rId="13187" sId="3">
    <oc r="E112">
      <f>40+7+50</f>
    </oc>
    <nc r="E112">
      <f>40+7+50+35</f>
    </nc>
  </rcc>
  <rcc rId="13188" sId="3" numFmtId="4">
    <oc r="F112">
      <v>3</v>
    </oc>
    <nc r="F112">
      <v>4</v>
    </nc>
  </rcc>
  <rcc rId="13189" sId="3" numFmtId="4">
    <oc r="G112">
      <v>97</v>
    </oc>
    <nc r="G112">
      <v>132</v>
    </nc>
  </rcc>
  <rcc rId="13190" sId="3" numFmtId="4">
    <oc r="D30">
      <v>6</v>
    </oc>
    <nc r="D30">
      <v>8</v>
    </nc>
  </rcc>
  <rcc rId="13191" sId="3">
    <oc r="E30">
      <f>30+4.4+15+10+30+15</f>
    </oc>
    <nc r="E30">
      <f>30+4.4+15+10+30+15+10+5</f>
    </nc>
  </rcc>
  <rcc rId="13192" sId="3" numFmtId="4">
    <oc r="F30">
      <v>6</v>
    </oc>
    <nc r="F30">
      <v>8</v>
    </nc>
  </rcc>
  <rcc rId="13193" sId="3" numFmtId="4">
    <oc r="G30">
      <v>104.4</v>
    </oc>
    <nc r="G30">
      <v>119.4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c rId="13806" sId="4" numFmtId="4">
    <oc r="D108">
      <v>2</v>
    </oc>
    <nc r="D108">
      <v>5</v>
    </nc>
  </rcc>
  <rcc rId="13807" sId="4">
    <oc r="E108">
      <f>10+5</f>
    </oc>
    <nc r="E108">
      <f>10+5+10+5+10</f>
    </nc>
  </rcc>
  <rcc rId="13808" sId="4" numFmtId="4">
    <oc r="F108">
      <v>2</v>
    </oc>
    <nc r="F108">
      <v>5</v>
    </nc>
  </rcc>
  <rcc rId="13809" sId="4" numFmtId="4">
    <oc r="G108">
      <f>10+5</f>
    </oc>
    <nc r="G108">
      <v>40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'июнь 2014г'!$C$21:$C$248</formula>
    <oldFormula>'июнь 2014г'!$C$21:$C$248</oldFormula>
  </rdn>
  <rdn rId="0" localSheetId="3" customView="1" name="Z_A743F9C7_8B89_4E8F_B91F_1FFB859064F2_.wvu.Rows" hidden="1" oldHidden="1">
    <formula>'июнь 2014г. по 6-10'!$2:$12</formula>
    <oldFormula>'июнь 2014г. по 6-10'!$2:$12</oldFormula>
  </rdn>
  <rdn rId="0" localSheetId="3" customView="1" name="Z_A743F9C7_8B89_4E8F_B91F_1FFB859064F2_.wvu.FilterData" hidden="1" oldHidden="1">
    <formula>'июнь 2014г. по 6-10'!$C$21:$C$131</formula>
    <oldFormula>'июнь 2014г. по 6-10'!$C$21:$C$131</oldFormula>
  </rdn>
  <rdn rId="0" localSheetId="4" customView="1" name="Z_A743F9C7_8B89_4E8F_B91F_1FFB859064F2_.wvu.Rows" hidden="1" oldHidden="1">
    <formula>'июнь 2014г. по 0,4'!$2:$12</formula>
    <oldFormula>'июнь 2014г. по 0,4'!$2:$12</oldFormula>
  </rdn>
  <rdn rId="0" localSheetId="4" customView="1" name="Z_A743F9C7_8B89_4E8F_B91F_1FFB859064F2_.wvu.FilterData" hidden="1" oldHidden="1">
    <formula>'июнь 2014г. по 0,4'!$C$18:$C$128</formula>
    <oldFormula>'июнь 2014г. по 0,4'!$C$18:$C$128</oldFormula>
  </rdn>
  <rcv guid="{A743F9C7-8B89-4E8F-B91F-1FFB859064F2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32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12720" sId="4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  <odxf/>
    <ndxf/>
  </rcc>
  <rcc rId="12721" sId="3" odxf="1" dxf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  <odxf/>
    <ndxf/>
  </rcc>
  <rcc rId="12722" sId="1">
    <o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апрель 2014г.</t>
      </is>
    </oc>
    <nc r="B14" t="inlineStr">
      <is>
        <t>Информация о технологическом присоединении энергопринимающих устройств к сетям ОАО Дагэнергосеть филиалом ОАО "МРСК Северного Кавказа" за май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  <rsnm rId="12729" sheetId="1" oldName="[май Сводная по поданным заявкам и заключенным договорам с присоединенной мощностью за май_2014.xlsx]апрель 2014г" newName="[май Сводная по поданным заявкам и заключенным договорам с присоединенной мощностью за май_2014.xlsx]май 2014г"/>
  <rsnm rId="12730" sheetId="3" oldName="[май Сводная по поданным заявкам и заключенным договорам с присоединенной мощностью за май_2014.xlsx]апрель 2014г. по 6-10" newName="[май Сводная по поданным заявкам и заключенным договорам с присоединенной мощностью за май_2014.xlsx]май 2014г. по 6-10"/>
  <rsnm rId="12731" sheetId="4" oldName="[май Сводная по поданным заявкам и заключенным договорам с присоединенной мощностью за май_2014.xlsx]апрель 2014г. по 0,4" newName="[май Сводная по поданным заявкам и заключенным договорам с присоединенной мощностью за май_2014.xlsx]май 2014г. по 0,4"/>
</revisions>
</file>

<file path=xl/revisions/revisionLog113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cc rId="12698" sId="4">
    <oc r="E123">
      <f>8+10</f>
    </oc>
    <nc r="E123">
      <f>8+10+1.8</f>
    </nc>
  </rcc>
  <rcc rId="12699" sId="4" numFmtId="4">
    <oc r="D123">
      <v>2</v>
    </oc>
    <nc r="D123">
      <v>3</v>
    </nc>
  </rcc>
  <rcc rId="12700" sId="4" numFmtId="4">
    <oc r="F123">
      <v>2</v>
    </oc>
    <nc r="F123">
      <v>3</v>
    </nc>
  </rcc>
  <rcc rId="12701" sId="4">
    <oc r="G123">
      <f>8+10</f>
    </oc>
    <nc r="G123">
      <f>8+10+1.8</f>
    </nc>
  </rcc>
  <rcc rId="12702" sId="4" numFmtId="4">
    <oc r="F120">
      <v>1</v>
    </oc>
    <nc r="F120">
      <v>2</v>
    </nc>
  </rcc>
  <rcc rId="12703" sId="4" odxf="1" dxf="1" numFmtId="4">
    <oc r="G120">
      <v>7.5</v>
    </oc>
    <nc r="G120">
      <f>7.5+6</f>
    </nc>
    <odxf>
      <fill>
        <patternFill>
          <bgColor theme="0"/>
        </patternFill>
      </fill>
    </odxf>
    <ndxf>
      <fill>
        <patternFill>
          <bgColor rgb="FFFFFF00"/>
        </patternFill>
      </fill>
    </ndxf>
  </rcc>
  <rfmt sheetId="4" sqref="D120:G120">
    <dxf>
      <fill>
        <patternFill>
          <bgColor theme="0"/>
        </patternFill>
      </fill>
    </dxf>
  </rfmt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'апрель 2014г'!$C$21:$C$248</formula>
    <oldFormula>'апрель 2014г'!$C$21:$C$248</oldFormula>
  </rdn>
  <rdn rId="0" localSheetId="3" customView="1" name="Z_A743F9C7_8B89_4E8F_B91F_1FFB859064F2_.wvu.Rows" hidden="1" oldHidden="1">
    <formula>'апрель 2014г. по 6-10'!$2:$12</formula>
    <oldFormula>'апрель 2014г. по 6-10'!$2:$12</oldFormula>
  </rdn>
  <rdn rId="0" localSheetId="3" customView="1" name="Z_A743F9C7_8B89_4E8F_B91F_1FFB859064F2_.wvu.FilterData" hidden="1" oldHidden="1">
    <formula>'апрель 2014г. по 6-10'!$C$21:$C$131</formula>
    <oldFormula>'апрель 2014г. по 6-10'!$C$21:$C$131</oldFormula>
  </rdn>
  <rdn rId="0" localSheetId="4" customView="1" name="Z_A743F9C7_8B89_4E8F_B91F_1FFB859064F2_.wvu.Rows" hidden="1" oldHidden="1">
    <formula>'апрель 2014г. по 0,4'!$2:$12</formula>
    <oldFormula>'апрель 2014г. по 0,4'!$2:$12</oldFormula>
  </rdn>
  <rdn rId="0" localSheetId="4" customView="1" name="Z_A743F9C7_8B89_4E8F_B91F_1FFB859064F2_.wvu.FilterData" hidden="1" oldHidden="1">
    <formula>'апрель 2014г. по 0,4'!$C$18:$C$128</formula>
    <oldFormula>'апрель 2014г. по 0,4'!$C$18:$C$128</oldFormula>
  </rdn>
  <rcv guid="{A743F9C7-8B89-4E8F-B91F-1FFB859064F2}" action="add"/>
</revisions>
</file>

<file path=xl/revisions/revisionLog114211.xml><?xml version="1.0" encoding="utf-8"?>
<revisions xmlns="http://schemas.openxmlformats.org/spreadsheetml/2006/main" xmlns:r="http://schemas.openxmlformats.org/officeDocument/2006/relationships">
  <rcc rId="12794" sId="4">
    <oc r="D33">
      <v>17</v>
    </oc>
    <nc r="D33">
      <v>18</v>
    </nc>
  </rcc>
  <rcc rId="12795" sId="4">
    <oc r="E33">
      <f>5.5+15+6+4+10+10+6+6+15+10+8+5+6+5+4+12+12</f>
    </oc>
    <nc r="E33">
      <f>5.5+15+6+4+10+10+6+6+15+10+8+5+6+5+4+12+12+5</f>
    </nc>
  </rcc>
  <rcc rId="12796" sId="4">
    <oc r="F33">
      <v>17</v>
    </oc>
    <nc r="F33">
      <v>18</v>
    </nc>
  </rcc>
  <rcc rId="12797" sId="4">
    <oc r="G33">
      <f>5.5+15+6+4+10+10+6+6+15+10+8+5+6+5+4+12+12</f>
    </oc>
    <nc r="G33">
      <v>144.5</v>
    </nc>
  </rcc>
  <rcc rId="12798" sId="4" numFmtId="4">
    <oc r="D81">
      <v>2</v>
    </oc>
    <nc r="D81">
      <v>3</v>
    </nc>
  </rcc>
  <rcc rId="12799" sId="4">
    <oc r="E81">
      <f>100+5</f>
    </oc>
    <nc r="E81">
      <f>100+5+5</f>
    </nc>
  </rcc>
  <rcc rId="12800" sId="4" numFmtId="4">
    <oc r="F81">
      <v>2</v>
    </oc>
    <nc r="F81">
      <v>3</v>
    </nc>
  </rcc>
  <rcc rId="12801" sId="4" numFmtId="4">
    <oc r="G81">
      <f>100+5</f>
    </oc>
    <nc r="G81">
      <v>110</v>
    </nc>
  </rcc>
  <rcc rId="12802" sId="4" numFmtId="4">
    <oc r="D153">
      <v>5</v>
    </oc>
    <nc r="D153">
      <v>6</v>
    </nc>
  </rcc>
  <rcc rId="12803" sId="4">
    <oc r="E153">
      <f>5+4+10+5+5</f>
    </oc>
    <nc r="E153">
      <f>5+4+10+5+5+15</f>
    </nc>
  </rcc>
  <rcc rId="12804" sId="4" numFmtId="4">
    <oc r="F153">
      <v>5</v>
    </oc>
    <nc r="F153">
      <v>6</v>
    </nc>
  </rcc>
  <rcc rId="12805" sId="4" numFmtId="4">
    <oc r="G153">
      <f>5+4+10+5+5</f>
    </oc>
    <nc r="G153">
      <v>44</v>
    </nc>
  </rcc>
  <rcc rId="12806" sId="4" numFmtId="4">
    <oc r="D129">
      <v>1</v>
    </oc>
    <nc r="D129">
      <v>2</v>
    </nc>
  </rcc>
  <rcc rId="12807" sId="4">
    <oc r="E129">
      <f>12</f>
    </oc>
    <nc r="E129">
      <f>12+7</f>
    </nc>
  </rcc>
  <rcc rId="12808" sId="4" numFmtId="4">
    <oc r="F129">
      <v>1</v>
    </oc>
    <nc r="F129">
      <v>2</v>
    </nc>
  </rcc>
  <rcc rId="12809" sId="4" numFmtId="4">
    <oc r="G129">
      <f>12</f>
    </oc>
    <nc r="G129">
      <v>19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12768" sId="3" numFmtId="4">
    <oc r="D105">
      <v>7</v>
    </oc>
    <nc r="D105">
      <v>8</v>
    </nc>
  </rcc>
  <rcc rId="12769" sId="3">
    <oc r="E105">
      <f>350+130+70+160+200+65+8</f>
    </oc>
    <nc r="E105">
      <f>350+130+70+160+200+65+8+10</f>
    </nc>
  </rcc>
  <rcc rId="12770" sId="3" numFmtId="4">
    <oc r="F105">
      <v>7</v>
    </oc>
    <nc r="F105">
      <v>8</v>
    </nc>
  </rcc>
  <rcc rId="12771" sId="3" numFmtId="4">
    <oc r="G105">
      <v>983</v>
    </oc>
    <nc r="G105">
      <f>350+130+70+160+200+65+8+10</f>
    </nc>
  </rcc>
  <rcc rId="12772" sId="4" numFmtId="4">
    <oc r="D207">
      <v>6</v>
    </oc>
    <nc r="D207">
      <v>7</v>
    </nc>
  </rcc>
  <rcc rId="12773" sId="4">
    <oc r="E207">
      <f>5+7.4+10+25+5+10</f>
    </oc>
    <nc r="E207">
      <f>5+7.4+10+25+5+10+15</f>
    </nc>
  </rcc>
  <rcc rId="12774" sId="4" numFmtId="4">
    <oc r="F207">
      <v>6</v>
    </oc>
    <nc r="F207">
      <v>7</v>
    </nc>
  </rcc>
  <rcc rId="12775" sId="4">
    <oc r="G207">
      <f>5+7.4+10+25+5+10</f>
    </oc>
    <nc r="G207">
      <f>5+7.4+10+25+5+10+15</f>
    </nc>
  </rcc>
  <rcc rId="12776" sId="4" numFmtId="4">
    <oc r="D36">
      <v>29</v>
    </oc>
    <nc r="D36">
      <v>30</v>
    </nc>
  </rcc>
  <rcc rId="12777" sId="4">
    <oc r="E36">
      <f>5+6+5+2+5+10+3+5+2+14+5+6+2+6+5+3+2.5+10+1+2+3+2+1.5+14+2.5+2+3+3+5</f>
    </oc>
    <nc r="E36">
      <f>5+6+5+2+5+10+3+5+2+14+5+6+2+6+5+3+2.5+10+1+2+3+2+1.5+14+2.5+2+3+3+5+14.5</f>
    </nc>
  </rcc>
  <rcc rId="12778" sId="4" numFmtId="4">
    <oc r="F36">
      <v>29</v>
    </oc>
    <nc r="F36">
      <v>30</v>
    </nc>
  </rcc>
  <rcc rId="12779" sId="4" numFmtId="4">
    <oc r="G36">
      <f>5+6+5+2+5+10+3+5+2+14+5+6+2+6+5+3+2.5+10+1+2+3+2+1.5+14+2.5+2+3+3+5</f>
    </oc>
    <nc r="G36">
      <v>150</v>
    </nc>
  </rcc>
  <rcc rId="12780" sId="4" numFmtId="4">
    <oc r="D37">
      <v>9</v>
    </oc>
    <nc r="D37">
      <v>10</v>
    </nc>
  </rcc>
  <rcc rId="12781" sId="4">
    <oc r="E37">
      <f>10+10+15+6+2+4+3+2+2.5</f>
    </oc>
    <nc r="E37">
      <f>10+10+15+6+2+4+3+2+2.5+3</f>
    </nc>
  </rcc>
  <rcc rId="12782" sId="4" numFmtId="4">
    <oc r="F37">
      <v>9</v>
    </oc>
    <nc r="F37">
      <v>10</v>
    </nc>
  </rcc>
  <rcc rId="12783" sId="4" numFmtId="4">
    <oc r="G37">
      <f>10+10+15+6+2+4+3+2+2.5</f>
    </oc>
    <nc r="G37">
      <v>57.5</v>
    </nc>
  </rcc>
  <rcc rId="12784" sId="4" numFmtId="4">
    <oc r="D128">
      <v>3</v>
    </oc>
    <nc r="D128">
      <v>4</v>
    </nc>
  </rcc>
  <rcc rId="12785" sId="4">
    <oc r="E128">
      <f>3+5+10</f>
    </oc>
    <nc r="E128">
      <f>3+5+10+10</f>
    </nc>
  </rcc>
  <rcc rId="12786" sId="4" numFmtId="4">
    <oc r="F128">
      <v>3</v>
    </oc>
    <nc r="F128">
      <v>4</v>
    </nc>
  </rcc>
  <rcc rId="12787" sId="4" numFmtId="4">
    <oc r="G128">
      <v>18</v>
    </oc>
    <nc r="G128">
      <v>28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'май 2014г'!$C$21:$C$248</formula>
    <oldFormula>'май 2014г'!$C$21:$C$248</oldFormula>
  </rdn>
  <rdn rId="0" localSheetId="3" customView="1" name="Z_A743F9C7_8B89_4E8F_B91F_1FFB859064F2_.wvu.Rows" hidden="1" oldHidden="1">
    <formula>'май 2014г. по 6-10'!$2:$12</formula>
    <oldFormula>'май 2014г. по 6-10'!$2:$12</oldFormula>
  </rdn>
  <rdn rId="0" localSheetId="3" customView="1" name="Z_A743F9C7_8B89_4E8F_B91F_1FFB859064F2_.wvu.FilterData" hidden="1" oldHidden="1">
    <formula>'май 2014г. по 6-10'!$C$21:$C$131</formula>
    <oldFormula>'май 2014г. по 6-10'!$C$21:$C$131</oldFormula>
  </rdn>
  <rdn rId="0" localSheetId="4" customView="1" name="Z_A743F9C7_8B89_4E8F_B91F_1FFB859064F2_.wvu.Rows" hidden="1" oldHidden="1">
    <formula>'май 2014г. по 0,4'!$2:$12</formula>
    <oldFormula>'май 2014г. по 0,4'!$2:$12</oldFormula>
  </rdn>
  <rdn rId="0" localSheetId="4" customView="1" name="Z_A743F9C7_8B89_4E8F_B91F_1FFB859064F2_.wvu.FilterData" hidden="1" oldHidden="1">
    <formula>'май 2014г. по 0,4'!$C$18:$C$128</formula>
    <oldFormula>'май 2014г. по 0,4'!$C$18:$C$128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C21180C-85F6-44E9-8911-8FF77947F37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32"/>
      <c r="J1" s="132"/>
      <c r="K1" s="132"/>
      <c r="L1" s="132"/>
      <c r="M1" s="17" t="s">
        <v>16</v>
      </c>
      <c r="N1" s="17"/>
    </row>
    <row r="2" spans="2:15" ht="15.75" x14ac:dyDescent="0.25">
      <c r="B2" t="s">
        <v>0</v>
      </c>
      <c r="I2" s="132"/>
      <c r="J2" s="132"/>
      <c r="K2" s="132"/>
      <c r="L2" s="132"/>
      <c r="M2" s="17" t="s">
        <v>12</v>
      </c>
      <c r="N2" s="17"/>
      <c r="O2" s="17"/>
    </row>
    <row r="3" spans="2:15" ht="15.75" x14ac:dyDescent="0.25">
      <c r="I3" s="132"/>
      <c r="J3" s="132"/>
      <c r="K3" s="132"/>
      <c r="L3" s="132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32"/>
      <c r="J5" s="132"/>
      <c r="K5" s="132"/>
      <c r="L5" s="132"/>
      <c r="M5" s="17" t="s">
        <v>15</v>
      </c>
      <c r="N5" s="17"/>
      <c r="O5" s="17"/>
    </row>
    <row r="6" spans="2:15" ht="15.75" x14ac:dyDescent="0.25">
      <c r="I6" s="132"/>
      <c r="J6" s="132"/>
      <c r="K6" s="132"/>
      <c r="L6" s="132"/>
      <c r="O6" s="17"/>
    </row>
    <row r="7" spans="2:15" ht="15.75" x14ac:dyDescent="0.25">
      <c r="I7" s="132"/>
      <c r="J7" s="132"/>
      <c r="K7" s="132"/>
      <c r="L7" s="132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2:15" ht="15.75" x14ac:dyDescent="0.25"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</row>
    <row r="14" spans="2:15" ht="16.5" thickBot="1" x14ac:dyDescent="0.3">
      <c r="B14" s="127" t="s">
        <v>140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9"/>
    </row>
    <row r="15" spans="2:15" x14ac:dyDescent="0.2"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10" t="s">
        <v>17</v>
      </c>
      <c r="E19" s="110"/>
      <c r="F19" s="110" t="s">
        <v>4</v>
      </c>
      <c r="G19" s="110"/>
      <c r="H19" s="125" t="s">
        <v>5</v>
      </c>
      <c r="I19" s="126"/>
      <c r="J19" s="125" t="s">
        <v>6</v>
      </c>
      <c r="K19" s="126"/>
      <c r="L19" s="118" t="s">
        <v>18</v>
      </c>
      <c r="M19" s="119"/>
      <c r="N19" s="118" t="s">
        <v>19</v>
      </c>
      <c r="O19" s="119"/>
      <c r="P19" s="118" t="s">
        <v>20</v>
      </c>
      <c r="Q19" s="119"/>
    </row>
    <row r="20" spans="1:17" ht="13.5" thickTop="1" x14ac:dyDescent="0.2">
      <c r="A20" s="4">
        <v>1</v>
      </c>
      <c r="B20" s="5">
        <v>2</v>
      </c>
      <c r="C20" s="6">
        <v>3</v>
      </c>
      <c r="D20" s="111">
        <v>4</v>
      </c>
      <c r="E20" s="112"/>
      <c r="F20" s="120">
        <v>5</v>
      </c>
      <c r="G20" s="121"/>
      <c r="H20" s="122">
        <v>6</v>
      </c>
      <c r="I20" s="121"/>
      <c r="J20" s="122">
        <v>7</v>
      </c>
      <c r="K20" s="121"/>
      <c r="L20" s="123">
        <v>8</v>
      </c>
      <c r="M20" s="124"/>
      <c r="N20" s="123">
        <v>9</v>
      </c>
      <c r="O20" s="124"/>
      <c r="P20" s="123">
        <v>10</v>
      </c>
      <c r="Q20" s="124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13" t="s">
        <v>21</v>
      </c>
      <c r="D22" s="114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'июнь 2014г. по 6-10'!D23+'июнь 2014г. по 0,4'!D20</f>
        <v>0</v>
      </c>
      <c r="E23" s="31">
        <f>'июнь 2014г. по 6-10'!E23+'июнь 2014г. по 0,4'!E20</f>
        <v>0</v>
      </c>
      <c r="F23" s="31">
        <f>'июнь 2014г. по 6-10'!F23+'июнь 2014г. по 0,4'!F20</f>
        <v>0</v>
      </c>
      <c r="G23" s="31">
        <f>'июнь 2014г. по 6-10'!G23+'июнь 2014г. по 0,4'!G20</f>
        <v>0</v>
      </c>
      <c r="H23" s="24">
        <v>2</v>
      </c>
      <c r="I23" s="24">
        <v>11.2</v>
      </c>
      <c r="J23" s="31">
        <f>'июнь 2014г. по 6-10'!J23+'июнь 2014г. по 0,4'!J20</f>
        <v>0</v>
      </c>
      <c r="K23" s="31">
        <f>'июнь 2014г. по 6-10'!K23+'июнь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'июнь 2014г. по 6-10'!D24+'июнь 2014г. по 0,4'!D21</f>
        <v>1</v>
      </c>
      <c r="E24" s="31">
        <f>'июнь 2014г. по 6-10'!E24+'июнь 2014г. по 0,4'!E21</f>
        <v>10</v>
      </c>
      <c r="F24" s="31">
        <f>'июнь 2014г. по 6-10'!F24+'июнь 2014г. по 0,4'!F21</f>
        <v>1</v>
      </c>
      <c r="G24" s="31">
        <f>'июнь 2014г. по 6-10'!G24+'июнь 2014г. по 0,4'!G21</f>
        <v>10</v>
      </c>
      <c r="H24" s="24">
        <v>0</v>
      </c>
      <c r="I24" s="24">
        <v>0</v>
      </c>
      <c r="J24" s="31">
        <f>'июнь 2014г. по 6-10'!J24+'июнь 2014г. по 0,4'!J21</f>
        <v>0</v>
      </c>
      <c r="K24" s="31">
        <f>'июнь 2014г. по 6-10'!K24+'июнь 2014г. по 0,4'!K21</f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'июнь 2014г. по 6-10'!D25+'июнь 2014г. по 0,4'!D22</f>
        <v>0</v>
      </c>
      <c r="E25" s="31">
        <f>'июнь 2014г. по 6-10'!E25+'июнь 2014г. по 0,4'!E22</f>
        <v>0</v>
      </c>
      <c r="F25" s="31">
        <f>'июнь 2014г. по 6-10'!F25+'июнь 2014г. по 0,4'!F22</f>
        <v>0</v>
      </c>
      <c r="G25" s="31">
        <f>'июнь 2014г. по 6-10'!G25+'июнь 2014г. по 0,4'!G22</f>
        <v>0</v>
      </c>
      <c r="H25" s="24">
        <v>0</v>
      </c>
      <c r="I25" s="24">
        <v>0</v>
      </c>
      <c r="J25" s="31">
        <f>'июнь 2014г. по 6-10'!J25+'июнь 2014г. по 0,4'!J22</f>
        <v>0</v>
      </c>
      <c r="K25" s="31">
        <f>'июнь 2014г. по 6-10'!K25+'июнь 2014г. по 0,4'!K22</f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'июнь 2014г. по 6-10'!D26+'июнь 2014г. по 0,4'!D23</f>
        <v>3</v>
      </c>
      <c r="E26" s="31">
        <f>'июнь 2014г. по 6-10'!E26+'июнь 2014г. по 0,4'!E23</f>
        <v>380</v>
      </c>
      <c r="F26" s="31">
        <f>'июнь 2014г. по 6-10'!F26+'июнь 2014г. по 0,4'!F23</f>
        <v>3</v>
      </c>
      <c r="G26" s="31">
        <f>'июнь 2014г. по 6-10'!G26+'июнь 2014г. по 0,4'!G23</f>
        <v>380</v>
      </c>
      <c r="H26" s="24">
        <v>0</v>
      </c>
      <c r="I26" s="24">
        <v>0</v>
      </c>
      <c r="J26" s="31">
        <f>'июнь 2014г. по 6-10'!J26+'июнь 2014г. по 0,4'!J23</f>
        <v>0</v>
      </c>
      <c r="K26" s="31">
        <f>'июнь 2014г. по 6-10'!K26+'июнь 2014г. по 0,4'!K23</f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'июнь 2014г. по 6-10'!D27+'июнь 2014г. по 0,4'!D24</f>
        <v>0</v>
      </c>
      <c r="E27" s="31">
        <f>'июнь 2014г. по 6-10'!E27+'июнь 2014г. по 0,4'!E24</f>
        <v>0</v>
      </c>
      <c r="F27" s="31">
        <f>'июнь 2014г. по 6-10'!F27+'июнь 2014г. по 0,4'!F24</f>
        <v>0</v>
      </c>
      <c r="G27" s="31">
        <f>'июнь 2014г. по 6-10'!G27+'июнь 2014г. по 0,4'!G24</f>
        <v>0</v>
      </c>
      <c r="H27" s="24">
        <v>0</v>
      </c>
      <c r="I27" s="24">
        <v>0</v>
      </c>
      <c r="J27" s="31">
        <f>'июнь 2014г. по 6-10'!J27+'июнь 2014г. по 0,4'!J24</f>
        <v>0</v>
      </c>
      <c r="K27" s="31">
        <f>'июнь 2014г. по 6-10'!K27+'июнь 2014г. по 0,4'!K24</f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'июнь 2014г. по 6-10'!D28+'июнь 2014г. по 0,4'!D25</f>
        <v>0</v>
      </c>
      <c r="E28" s="31">
        <f>'июнь 2014г. по 6-10'!E28+'июнь 2014г. по 0,4'!E25</f>
        <v>0</v>
      </c>
      <c r="F28" s="31">
        <f>'июнь 2014г. по 6-10'!F28+'июнь 2014г. по 0,4'!F25</f>
        <v>0</v>
      </c>
      <c r="G28" s="31">
        <f>'июнь 2014г. по 6-10'!G28+'июнь 2014г. по 0,4'!G25</f>
        <v>0</v>
      </c>
      <c r="H28" s="24">
        <v>0</v>
      </c>
      <c r="I28" s="24">
        <v>0</v>
      </c>
      <c r="J28" s="31">
        <f>'июнь 2014г. по 6-10'!J28+'июнь 2014г. по 0,4'!J25</f>
        <v>0</v>
      </c>
      <c r="K28" s="31">
        <f>'июнь 2014г. по 6-10'!K28+'июнь 2014г. по 0,4'!K25</f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'июнь 2014г. по 6-10'!D29+'июнь 2014г. по 0,4'!D26</f>
        <v>0</v>
      </c>
      <c r="E29" s="31">
        <f>'июнь 2014г. по 6-10'!E29+'июнь 2014г. по 0,4'!E26</f>
        <v>0</v>
      </c>
      <c r="F29" s="31">
        <f>'июнь 2014г. по 6-10'!F29+'июнь 2014г. по 0,4'!F26</f>
        <v>0</v>
      </c>
      <c r="G29" s="31">
        <f>'июнь 2014г. по 6-10'!G29+'июнь 2014г. по 0,4'!G26</f>
        <v>0</v>
      </c>
      <c r="H29" s="24">
        <v>1</v>
      </c>
      <c r="I29" s="24">
        <v>300</v>
      </c>
      <c r="J29" s="31">
        <f>'июнь 2014г. по 6-10'!J29+'июнь 2014г. по 0,4'!J26</f>
        <v>0</v>
      </c>
      <c r="K29" s="31">
        <f>'июнь 2014г. по 6-10'!K29+'июнь 2014г. по 0,4'!K26</f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4</v>
      </c>
      <c r="E30" s="29">
        <f t="shared" ref="E30:Q30" si="0">E23+E24+E25+E26+E27+E28+E29</f>
        <v>390</v>
      </c>
      <c r="F30" s="29">
        <f t="shared" si="0"/>
        <v>4</v>
      </c>
      <c r="G30" s="29">
        <f t="shared" si="0"/>
        <v>390</v>
      </c>
      <c r="H30" s="29">
        <f t="shared" si="0"/>
        <v>3</v>
      </c>
      <c r="I30" s="29">
        <f t="shared" si="0"/>
        <v>311.2</v>
      </c>
      <c r="J30" s="29">
        <f t="shared" si="0"/>
        <v>0</v>
      </c>
      <c r="K30" s="29">
        <f t="shared" si="0"/>
        <v>0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13" t="s">
        <v>29</v>
      </c>
      <c r="D31" s="114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'июнь 2014г. по 6-10'!D32+'июнь 2014г. по 0,4'!D29</f>
        <v>15</v>
      </c>
      <c r="E32" s="31">
        <f>'июнь 2014г. по 6-10'!E32+'июнь 2014г. по 0,4'!E29</f>
        <v>586</v>
      </c>
      <c r="F32" s="31">
        <f>'июнь 2014г. по 6-10'!F32+'июнь 2014г. по 0,4'!F29</f>
        <v>15</v>
      </c>
      <c r="G32" s="31">
        <f>'июнь 2014г. по 6-10'!G32+'июнь 2014г. по 0,4'!G29</f>
        <v>586</v>
      </c>
      <c r="H32" s="24">
        <v>0</v>
      </c>
      <c r="I32" s="24">
        <v>0</v>
      </c>
      <c r="J32" s="31">
        <f>'июнь 2014г. по 6-10'!J32+'июнь 2014г. по 0,4'!J29</f>
        <v>0</v>
      </c>
      <c r="K32" s="31">
        <f>'июнь 2014г. по 6-10'!K32+'июнь 2014г. по 0,4'!K29</f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'июнь 2014г. по 6-10'!D33+'июнь 2014г. по 0,4'!D30</f>
        <v>7</v>
      </c>
      <c r="E33" s="31">
        <f>'июнь 2014г. по 6-10'!E33+'июнь 2014г. по 0,4'!E30</f>
        <v>153</v>
      </c>
      <c r="F33" s="31">
        <f>'июнь 2014г. по 6-10'!F33+'июнь 2014г. по 0,4'!F30</f>
        <v>7</v>
      </c>
      <c r="G33" s="31">
        <f>'июнь 2014г. по 6-10'!G33+'июнь 2014г. по 0,4'!G30</f>
        <v>153</v>
      </c>
      <c r="H33" s="24">
        <v>0</v>
      </c>
      <c r="I33" s="24">
        <v>0</v>
      </c>
      <c r="J33" s="31">
        <f>'июнь 2014г. по 6-10'!J33+'июнь 2014г. по 0,4'!J30</f>
        <v>0</v>
      </c>
      <c r="K33" s="31">
        <f>'июнь 2014г. по 6-10'!K33+'июнь 2014г. по 0,4'!K30</f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'июнь 2014г. по 6-10'!D34+'июнь 2014г. по 0,4'!D31</f>
        <v>9</v>
      </c>
      <c r="E34" s="31">
        <f>'июнь 2014г. по 6-10'!E34+'июнь 2014г. по 0,4'!E31</f>
        <v>167</v>
      </c>
      <c r="F34" s="31">
        <f>'июнь 2014г. по 6-10'!F34+'июнь 2014г. по 0,4'!F31</f>
        <v>9</v>
      </c>
      <c r="G34" s="31">
        <f>'июнь 2014г. по 6-10'!G34+'июнь 2014г. по 0,4'!G31</f>
        <v>167</v>
      </c>
      <c r="H34" s="24">
        <v>0</v>
      </c>
      <c r="I34" s="24">
        <v>0</v>
      </c>
      <c r="J34" s="31">
        <f>'июнь 2014г. по 6-10'!J34+'июнь 2014г. по 0,4'!J31</f>
        <v>2</v>
      </c>
      <c r="K34" s="31">
        <f>'июнь 2014г. по 6-10'!K34+'июнь 2014г. по 0,4'!K31</f>
        <v>27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'июнь 2014г. по 6-10'!D35+'июнь 2014г. по 0,4'!D32</f>
        <v>10</v>
      </c>
      <c r="E35" s="31">
        <f>'июнь 2014г. по 6-10'!E35+'июнь 2014г. по 0,4'!E32</f>
        <v>440</v>
      </c>
      <c r="F35" s="31">
        <f>'июнь 2014г. по 6-10'!F35+'июнь 2014г. по 0,4'!F32</f>
        <v>10</v>
      </c>
      <c r="G35" s="31">
        <f>'июнь 2014г. по 6-10'!G35+'июнь 2014г. по 0,4'!G32</f>
        <v>440</v>
      </c>
      <c r="H35" s="24">
        <v>0</v>
      </c>
      <c r="I35" s="24">
        <v>0</v>
      </c>
      <c r="J35" s="31">
        <f>'июнь 2014г. по 6-10'!J35+'июнь 2014г. по 0,4'!J32</f>
        <v>0</v>
      </c>
      <c r="K35" s="31">
        <f>'июнь 2014г. по 6-10'!K35+'июнь 2014г. по 0,4'!K32</f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'июнь 2014г. по 6-10'!D36+'июнь 2014г. по 0,4'!D33</f>
        <v>37</v>
      </c>
      <c r="E36" s="31">
        <f>'июнь 2014г. по 6-10'!E36+'июнь 2014г. по 0,4'!E33</f>
        <v>1189.5</v>
      </c>
      <c r="F36" s="31">
        <f>'июнь 2014г. по 6-10'!F36+'июнь 2014г. по 0,4'!F33</f>
        <v>37</v>
      </c>
      <c r="G36" s="31">
        <f>'июнь 2014г. по 6-10'!G36+'июнь 2014г. по 0,4'!G33</f>
        <v>1189.5</v>
      </c>
      <c r="H36" s="24">
        <v>0</v>
      </c>
      <c r="I36" s="24">
        <v>0</v>
      </c>
      <c r="J36" s="31">
        <f>'июнь 2014г. по 6-10'!J36+'июнь 2014г. по 0,4'!J33</f>
        <v>6</v>
      </c>
      <c r="K36" s="31">
        <f>'июнь 2014г. по 6-10'!K36+'июнь 2014г. по 0,4'!K33</f>
        <v>47.5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'июнь 2014г. по 6-10'!D37+'июнь 2014г. по 0,4'!D34</f>
        <v>9</v>
      </c>
      <c r="E37" s="31">
        <f>'июнь 2014г. по 6-10'!E37+'июнь 2014г. по 0,4'!E34</f>
        <v>119</v>
      </c>
      <c r="F37" s="31">
        <f>'июнь 2014г. по 6-10'!F37+'июнь 2014г. по 0,4'!F34</f>
        <v>9</v>
      </c>
      <c r="G37" s="31">
        <f>'июнь 2014г. по 6-10'!G37+'июнь 2014г. по 0,4'!G34</f>
        <v>119</v>
      </c>
      <c r="H37" s="24">
        <v>0</v>
      </c>
      <c r="I37" s="24">
        <v>0</v>
      </c>
      <c r="J37" s="31">
        <f>'июнь 2014г. по 6-10'!J37+'июнь 2014г. по 0,4'!J34</f>
        <v>0</v>
      </c>
      <c r="K37" s="31">
        <f>'июнь 2014г. по 6-10'!K37+'июнь 2014г. по 0,4'!K34</f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87</v>
      </c>
      <c r="E38" s="29">
        <f t="shared" ref="E38:Q38" si="1">E32+E33+E34+E35+E36+E37</f>
        <v>2654.5</v>
      </c>
      <c r="F38" s="29">
        <f t="shared" si="1"/>
        <v>87</v>
      </c>
      <c r="G38" s="29">
        <f t="shared" si="1"/>
        <v>2654.5</v>
      </c>
      <c r="H38" s="29">
        <f t="shared" si="1"/>
        <v>0</v>
      </c>
      <c r="I38" s="29">
        <f t="shared" si="1"/>
        <v>0</v>
      </c>
      <c r="J38" s="29">
        <f t="shared" si="1"/>
        <v>8</v>
      </c>
      <c r="K38" s="29">
        <f t="shared" si="1"/>
        <v>74.5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16" t="s">
        <v>37</v>
      </c>
      <c r="D39" s="116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'июнь 2014г. по 6-10'!D40+'июнь 2014г. по 0,4'!D37</f>
        <v>14</v>
      </c>
      <c r="E40" s="31">
        <f>'июнь 2014г. по 6-10'!E40+'июнь 2014г. по 0,4'!E37</f>
        <v>147.5</v>
      </c>
      <c r="F40" s="31">
        <f>'июнь 2014г. по 6-10'!F40+'июнь 2014г. по 0,4'!F37</f>
        <v>14</v>
      </c>
      <c r="G40" s="31">
        <f>'июнь 2014г. по 6-10'!G40+'июнь 2014г. по 0,4'!G37</f>
        <v>147.5</v>
      </c>
      <c r="H40" s="24">
        <v>0</v>
      </c>
      <c r="I40" s="24">
        <v>0</v>
      </c>
      <c r="J40" s="31">
        <f>'июнь 2014г. по 6-10'!J40+'июнь 2014г. по 0,4'!J37</f>
        <v>1</v>
      </c>
      <c r="K40" s="31">
        <f>'июнь 2014г. по 6-10'!K40+'июнь 2014г. по 0,4'!K37</f>
        <v>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'июнь 2014г. по 6-10'!D41+'июнь 2014г. по 0,4'!D38</f>
        <v>17</v>
      </c>
      <c r="E41" s="31">
        <f>'июнь 2014г. по 6-10'!E41+'июнь 2014г. по 0,4'!E38</f>
        <v>274.2</v>
      </c>
      <c r="F41" s="31">
        <f>'июнь 2014г. по 6-10'!F41+'июнь 2014г. по 0,4'!F38</f>
        <v>17</v>
      </c>
      <c r="G41" s="31">
        <f>'июнь 2014г. по 6-10'!G41+'июнь 2014г. по 0,4'!G38</f>
        <v>274.2</v>
      </c>
      <c r="H41" s="24">
        <v>0</v>
      </c>
      <c r="I41" s="24">
        <v>0</v>
      </c>
      <c r="J41" s="31">
        <f>'июнь 2014г. по 6-10'!J41+'июнь 2014г. по 0,4'!J38</f>
        <v>2</v>
      </c>
      <c r="K41" s="31">
        <f>'июнь 2014г. по 6-10'!K41+'июнь 2014г. по 0,4'!K38</f>
        <v>13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'июнь 2014г. по 6-10'!D42+'июнь 2014г. по 0,4'!D39</f>
        <v>13</v>
      </c>
      <c r="E42" s="31">
        <f>'июнь 2014г. по 6-10'!E42+'июнь 2014г. по 0,4'!E39</f>
        <v>536</v>
      </c>
      <c r="F42" s="31">
        <f>'июнь 2014г. по 6-10'!F42+'июнь 2014г. по 0,4'!F39</f>
        <v>13</v>
      </c>
      <c r="G42" s="31">
        <f>'июнь 2014г. по 6-10'!G42+'июнь 2014г. по 0,4'!G39</f>
        <v>536</v>
      </c>
      <c r="H42" s="24">
        <v>0</v>
      </c>
      <c r="I42" s="24">
        <v>0</v>
      </c>
      <c r="J42" s="31">
        <f>'июнь 2014г. по 6-10'!J42+'июнь 2014г. по 0,4'!J39</f>
        <v>2</v>
      </c>
      <c r="K42" s="31">
        <f>'июнь 2014г. по 6-10'!K42+'июнь 2014г. по 0,4'!K39</f>
        <v>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'июнь 2014г. по 6-10'!D43+'июнь 2014г. по 0,4'!D40</f>
        <v>7</v>
      </c>
      <c r="E43" s="31">
        <f>'июнь 2014г. по 6-10'!E43+'июнь 2014г. по 0,4'!E40</f>
        <v>416</v>
      </c>
      <c r="F43" s="31">
        <f>'июнь 2014г. по 6-10'!F43+'июнь 2014г. по 0,4'!F40</f>
        <v>7</v>
      </c>
      <c r="G43" s="31">
        <f>'июнь 2014г. по 6-10'!G43+'июнь 2014г. по 0,4'!G40</f>
        <v>416</v>
      </c>
      <c r="H43" s="24">
        <v>0</v>
      </c>
      <c r="I43" s="24">
        <v>0</v>
      </c>
      <c r="J43" s="31">
        <f>'июнь 2014г. по 6-10'!J43+'июнь 2014г. по 0,4'!J40</f>
        <v>1</v>
      </c>
      <c r="K43" s="31">
        <f>'июнь 2014г. по 6-10'!K43+'июнь 2014г. по 0,4'!K40</f>
        <v>10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'июнь 2014г. по 6-10'!D44+'июнь 2014г. по 0,4'!D41</f>
        <v>0</v>
      </c>
      <c r="E44" s="31">
        <f>'июнь 2014г. по 6-10'!E44+'июнь 2014г. по 0,4'!E41</f>
        <v>0</v>
      </c>
      <c r="F44" s="31">
        <f>'июнь 2014г. по 6-10'!F44+'июнь 2014г. по 0,4'!F41</f>
        <v>0</v>
      </c>
      <c r="G44" s="31">
        <f>'июнь 2014г. по 6-10'!G44+'июнь 2014г. по 0,4'!G41</f>
        <v>0</v>
      </c>
      <c r="H44" s="24">
        <v>0</v>
      </c>
      <c r="I44" s="24">
        <v>0</v>
      </c>
      <c r="J44" s="31">
        <f>'июнь 2014г. по 6-10'!J44+'июнь 2014г. по 0,4'!J41</f>
        <v>0</v>
      </c>
      <c r="K44" s="31">
        <f>'июнь 2014г. по 6-10'!K44+'июнь 2014г. по 0,4'!K41</f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'июнь 2014г. по 6-10'!D45+'июнь 2014г. по 0,4'!D42</f>
        <v>2</v>
      </c>
      <c r="E45" s="31">
        <f>'июнь 2014г. по 6-10'!E45+'июнь 2014г. по 0,4'!E42</f>
        <v>62</v>
      </c>
      <c r="F45" s="31">
        <f>'июнь 2014г. по 6-10'!F45+'июнь 2014г. по 0,4'!F42</f>
        <v>2</v>
      </c>
      <c r="G45" s="31">
        <f>'июнь 2014г. по 6-10'!G45+'июнь 2014г. по 0,4'!G42</f>
        <v>62</v>
      </c>
      <c r="H45" s="24">
        <v>0</v>
      </c>
      <c r="I45" s="24">
        <v>0</v>
      </c>
      <c r="J45" s="31">
        <f>'июнь 2014г. по 6-10'!J45+'июнь 2014г. по 0,4'!J42</f>
        <v>1</v>
      </c>
      <c r="K45" s="31">
        <f>'июнь 2014г. по 6-10'!K45+'июнь 2014г. по 0,4'!K42</f>
        <v>12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'июнь 2014г. по 6-10'!D46+'июнь 2014г. по 0,4'!D43</f>
        <v>0</v>
      </c>
      <c r="E46" s="31">
        <f>'июнь 2014г. по 6-10'!E46+'июнь 2014г. по 0,4'!E43</f>
        <v>0</v>
      </c>
      <c r="F46" s="31">
        <f>'июнь 2014г. по 6-10'!F46+'июнь 2014г. по 0,4'!F43</f>
        <v>0</v>
      </c>
      <c r="G46" s="31">
        <f>'июнь 2014г. по 6-10'!G46+'июнь 2014г. по 0,4'!G43</f>
        <v>0</v>
      </c>
      <c r="H46" s="24">
        <v>0</v>
      </c>
      <c r="I46" s="24">
        <v>0</v>
      </c>
      <c r="J46" s="31">
        <f>'июнь 2014г. по 6-10'!J46+'июнь 2014г. по 0,4'!J43</f>
        <v>0</v>
      </c>
      <c r="K46" s="31">
        <f>'июнь 2014г. по 6-10'!K46+'июнь 2014г. по 0,4'!K43</f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'июнь 2014г. по 6-10'!D47+'июнь 2014г. по 0,4'!D44</f>
        <v>0</v>
      </c>
      <c r="E47" s="31">
        <f>'июнь 2014г. по 6-10'!E47+'июнь 2014г. по 0,4'!E44</f>
        <v>0</v>
      </c>
      <c r="F47" s="31">
        <f>'июнь 2014г. по 6-10'!F47+'июнь 2014г. по 0,4'!F44</f>
        <v>0</v>
      </c>
      <c r="G47" s="31">
        <f>'июнь 2014г. по 6-10'!G47+'июнь 2014г. по 0,4'!G44</f>
        <v>0</v>
      </c>
      <c r="H47" s="24">
        <v>0</v>
      </c>
      <c r="I47" s="24">
        <v>0</v>
      </c>
      <c r="J47" s="31">
        <f>'июнь 2014г. по 6-10'!J47+'июнь 2014г. по 0,4'!J44</f>
        <v>0</v>
      </c>
      <c r="K47" s="31">
        <f>'июнь 2014г. по 6-10'!K47+'июнь 2014г. по 0,4'!K44</f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'июнь 2014г. по 6-10'!D48+'июнь 2014г. по 0,4'!D45</f>
        <v>21</v>
      </c>
      <c r="E48" s="31">
        <f>'июнь 2014г. по 6-10'!E48+'июнь 2014г. по 0,4'!E45</f>
        <v>945</v>
      </c>
      <c r="F48" s="31">
        <f>'июнь 2014г. по 6-10'!F48+'июнь 2014г. по 0,4'!F45</f>
        <v>21</v>
      </c>
      <c r="G48" s="31">
        <f>'июнь 2014г. по 6-10'!G48+'июнь 2014г. по 0,4'!G45</f>
        <v>945</v>
      </c>
      <c r="H48" s="24">
        <v>0</v>
      </c>
      <c r="I48" s="24">
        <v>0</v>
      </c>
      <c r="J48" s="31">
        <f>'июнь 2014г. по 6-10'!J48+'июнь 2014г. по 0,4'!J45</f>
        <v>0</v>
      </c>
      <c r="K48" s="31">
        <f>'июнь 2014г. по 6-10'!K48+'июнь 2014г. по 0,4'!K45</f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'июнь 2014г. по 6-10'!D49+'июнь 2014г. по 0,4'!D46</f>
        <v>0</v>
      </c>
      <c r="E49" s="31">
        <f>'июнь 2014г. по 6-10'!E49+'июнь 2014г. по 0,4'!E46</f>
        <v>0</v>
      </c>
      <c r="F49" s="31">
        <f>'июнь 2014г. по 6-10'!F49+'июнь 2014г. по 0,4'!F46</f>
        <v>0</v>
      </c>
      <c r="G49" s="31">
        <f>'июнь 2014г. по 6-10'!G49+'июнь 2014г. по 0,4'!G46</f>
        <v>0</v>
      </c>
      <c r="H49" s="24">
        <v>0</v>
      </c>
      <c r="I49" s="24">
        <v>0</v>
      </c>
      <c r="J49" s="31">
        <f>'июнь 2014г. по 6-10'!J49+'июнь 2014г. по 0,4'!J46</f>
        <v>0</v>
      </c>
      <c r="K49" s="31">
        <f>'июнь 2014г. по 6-10'!K49+'июнь 2014г. по 0,4'!K46</f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'июнь 2014г. по 6-10'!D50+'июнь 2014г. по 0,4'!D47</f>
        <v>3</v>
      </c>
      <c r="E50" s="31">
        <f>'июнь 2014г. по 6-10'!E50+'июнь 2014г. по 0,4'!E47</f>
        <v>183</v>
      </c>
      <c r="F50" s="31">
        <f>'июнь 2014г. по 6-10'!F50+'июнь 2014г. по 0,4'!F47</f>
        <v>3</v>
      </c>
      <c r="G50" s="31">
        <f>'июнь 2014г. по 6-10'!G50+'июнь 2014г. по 0,4'!G47</f>
        <v>183</v>
      </c>
      <c r="H50" s="24">
        <v>0</v>
      </c>
      <c r="I50" s="24">
        <v>0</v>
      </c>
      <c r="J50" s="31">
        <f>'июнь 2014г. по 6-10'!J50+'июнь 2014г. по 0,4'!J47</f>
        <v>0</v>
      </c>
      <c r="K50" s="31">
        <f>'июнь 2014г. по 6-10'!K50+'июнь 2014г. по 0,4'!K47</f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'июнь 2014г. по 6-10'!D51+'июнь 2014г. по 0,4'!D48</f>
        <v>6</v>
      </c>
      <c r="E51" s="31">
        <f>'июнь 2014г. по 6-10'!E51+'июнь 2014г. по 0,4'!E48</f>
        <v>575</v>
      </c>
      <c r="F51" s="31">
        <f>'июнь 2014г. по 6-10'!F51+'июнь 2014г. по 0,4'!F48</f>
        <v>6</v>
      </c>
      <c r="G51" s="31">
        <f>'июнь 2014г. по 6-10'!G51+'июнь 2014г. по 0,4'!G48</f>
        <v>575</v>
      </c>
      <c r="H51" s="24">
        <v>0</v>
      </c>
      <c r="I51" s="24">
        <v>0</v>
      </c>
      <c r="J51" s="31">
        <f>'июнь 2014г. по 6-10'!J51+'июнь 2014г. по 0,4'!J48</f>
        <v>0</v>
      </c>
      <c r="K51" s="31">
        <f>'июнь 2014г. по 6-10'!K51+'июнь 2014г. по 0,4'!K48</f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83</v>
      </c>
      <c r="E52" s="29">
        <f t="shared" ref="E52:Q52" si="2">E40+E41+E42+E43+E44+E45+E46+E47+E48+E49+E50+E51</f>
        <v>3138.7</v>
      </c>
      <c r="F52" s="29">
        <f t="shared" si="2"/>
        <v>83</v>
      </c>
      <c r="G52" s="29">
        <f t="shared" si="2"/>
        <v>3138.7</v>
      </c>
      <c r="H52" s="29">
        <f t="shared" si="2"/>
        <v>0</v>
      </c>
      <c r="I52" s="29">
        <f t="shared" si="2"/>
        <v>0</v>
      </c>
      <c r="J52" s="29">
        <f t="shared" si="2"/>
        <v>7</v>
      </c>
      <c r="K52" s="29">
        <f t="shared" si="2"/>
        <v>65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16" t="s">
        <v>50</v>
      </c>
      <c r="D53" s="116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'июнь 2014г. по 6-10'!D54+'июнь 2014г. по 0,4'!D51</f>
        <v>3</v>
      </c>
      <c r="E54" s="31">
        <f>'июнь 2014г. по 6-10'!E54+'июнь 2014г. по 0,4'!E51</f>
        <v>368</v>
      </c>
      <c r="F54" s="31">
        <f>'июнь 2014г. по 6-10'!F54+'июнь 2014г. по 0,4'!F51</f>
        <v>3</v>
      </c>
      <c r="G54" s="31">
        <f>'июнь 2014г. по 6-10'!G54+'июнь 2014г. по 0,4'!G51</f>
        <v>368</v>
      </c>
      <c r="H54" s="24">
        <v>2</v>
      </c>
      <c r="I54" s="24">
        <v>350</v>
      </c>
      <c r="J54" s="31">
        <f>'июнь 2014г. по 6-10'!J54+'июнь 2014г. по 0,4'!J51</f>
        <v>0</v>
      </c>
      <c r="K54" s="31">
        <f>'июнь 2014г. по 6-10'!K54+'июнь 2014г. по 0,4'!K51</f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'июнь 2014г. по 6-10'!D55+'июнь 2014г. по 0,4'!D52</f>
        <v>2</v>
      </c>
      <c r="E55" s="31">
        <f>'июнь 2014г. по 6-10'!E55+'июнь 2014г. по 0,4'!E52</f>
        <v>24</v>
      </c>
      <c r="F55" s="31">
        <f>'июнь 2014г. по 6-10'!F55+'июнь 2014г. по 0,4'!F52</f>
        <v>2</v>
      </c>
      <c r="G55" s="31">
        <f>'июнь 2014г. по 6-10'!G55+'июнь 2014г. по 0,4'!G52</f>
        <v>24</v>
      </c>
      <c r="H55" s="24">
        <v>0</v>
      </c>
      <c r="I55" s="24">
        <v>0</v>
      </c>
      <c r="J55" s="31">
        <f>'июнь 2014г. по 6-10'!J55+'июнь 2014г. по 0,4'!J52</f>
        <v>0</v>
      </c>
      <c r="K55" s="31">
        <f>'июнь 2014г. по 6-10'!K55+'июнь 2014г. по 0,4'!K52</f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'июнь 2014г. по 6-10'!D56+'июнь 2014г. по 0,4'!D53</f>
        <v>2</v>
      </c>
      <c r="E56" s="31">
        <f>'июнь 2014г. по 6-10'!E56+'июнь 2014г. по 0,4'!E53</f>
        <v>25</v>
      </c>
      <c r="F56" s="31">
        <f>'июнь 2014г. по 6-10'!F56+'июнь 2014г. по 0,4'!F53</f>
        <v>2</v>
      </c>
      <c r="G56" s="31">
        <f>'июнь 2014г. по 6-10'!G56+'июнь 2014г. по 0,4'!G53</f>
        <v>25</v>
      </c>
      <c r="H56" s="24">
        <v>0</v>
      </c>
      <c r="I56" s="24">
        <v>0</v>
      </c>
      <c r="J56" s="31">
        <f>'июнь 2014г. по 6-10'!J56+'июнь 2014г. по 0,4'!J53</f>
        <v>1</v>
      </c>
      <c r="K56" s="31">
        <f>'июнь 2014г. по 6-10'!K56+'июнь 2014г. по 0,4'!K53</f>
        <v>10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'июнь 2014г. по 6-10'!D57+'июнь 2014г. по 0,4'!D54</f>
        <v>0</v>
      </c>
      <c r="E57" s="31">
        <f>'июнь 2014г. по 6-10'!E57+'июнь 2014г. по 0,4'!E54</f>
        <v>0</v>
      </c>
      <c r="F57" s="31">
        <f>'июнь 2014г. по 6-10'!F57+'июнь 2014г. по 0,4'!F54</f>
        <v>0</v>
      </c>
      <c r="G57" s="31">
        <f>'июнь 2014г. по 6-10'!G57+'июнь 2014г. по 0,4'!G54</f>
        <v>0</v>
      </c>
      <c r="H57" s="24">
        <v>0</v>
      </c>
      <c r="I57" s="24">
        <v>0</v>
      </c>
      <c r="J57" s="31">
        <f>'июнь 2014г. по 6-10'!J57+'июнь 2014г. по 0,4'!J54</f>
        <v>0</v>
      </c>
      <c r="K57" s="31">
        <f>'июнь 2014г. по 6-10'!K57+'июнь 2014г. по 0,4'!K54</f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'июнь 2014г. по 6-10'!D58+'июнь 2014г. по 0,4'!D55</f>
        <v>12</v>
      </c>
      <c r="E58" s="31">
        <f>'июнь 2014г. по 6-10'!E58+'июнь 2014г. по 0,4'!E55</f>
        <v>589</v>
      </c>
      <c r="F58" s="31">
        <f>'июнь 2014г. по 6-10'!F58+'июнь 2014г. по 0,4'!F55</f>
        <v>12</v>
      </c>
      <c r="G58" s="31">
        <f>'июнь 2014г. по 6-10'!G58+'июнь 2014г. по 0,4'!G55</f>
        <v>589</v>
      </c>
      <c r="H58" s="24">
        <v>0</v>
      </c>
      <c r="I58" s="24">
        <v>0</v>
      </c>
      <c r="J58" s="31">
        <f>'июнь 2014г. по 6-10'!J58+'июнь 2014г. по 0,4'!J55</f>
        <v>2</v>
      </c>
      <c r="K58" s="31">
        <f>'июнь 2014г. по 6-10'!K58+'июнь 2014г. по 0,4'!K55</f>
        <v>20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'июнь 2014г. по 6-10'!D59+'июнь 2014г. по 0,4'!D56</f>
        <v>2</v>
      </c>
      <c r="E59" s="31">
        <f>'июнь 2014г. по 6-10'!E59+'июнь 2014г. по 0,4'!E56</f>
        <v>10</v>
      </c>
      <c r="F59" s="31">
        <f>'июнь 2014г. по 6-10'!F59+'июнь 2014г. по 0,4'!F56</f>
        <v>2</v>
      </c>
      <c r="G59" s="31">
        <f>'июнь 2014г. по 6-10'!G59+'июнь 2014г. по 0,4'!G56</f>
        <v>10</v>
      </c>
      <c r="H59" s="24">
        <v>2</v>
      </c>
      <c r="I59" s="24">
        <v>395</v>
      </c>
      <c r="J59" s="31">
        <f>'июнь 2014г. по 6-10'!J59+'июнь 2014г. по 0,4'!J56</f>
        <v>1</v>
      </c>
      <c r="K59" s="31">
        <f>'июнь 2014г. по 6-10'!K59+'июнь 2014г. по 0,4'!K56</f>
        <v>5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'июнь 2014г. по 6-10'!D60+'июнь 2014г. по 0,4'!D57</f>
        <v>2</v>
      </c>
      <c r="E60" s="31">
        <f>'июнь 2014г. по 6-10'!E60+'июнь 2014г. по 0,4'!E57</f>
        <v>175</v>
      </c>
      <c r="F60" s="31">
        <f>'июнь 2014г. по 6-10'!F60+'июнь 2014г. по 0,4'!F57</f>
        <v>2</v>
      </c>
      <c r="G60" s="31">
        <f>'июнь 2014г. по 6-10'!G60+'июнь 2014г. по 0,4'!G57</f>
        <v>175</v>
      </c>
      <c r="H60" s="24">
        <v>0</v>
      </c>
      <c r="I60" s="24">
        <v>0</v>
      </c>
      <c r="J60" s="31">
        <f>'июнь 2014г. по 6-10'!J60+'июнь 2014г. по 0,4'!J57</f>
        <v>0</v>
      </c>
      <c r="K60" s="31">
        <f>'июнь 2014г. по 6-10'!K60+'июнь 2014г. по 0,4'!K57</f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'июнь 2014г. по 6-10'!D61+'июнь 2014г. по 0,4'!D58</f>
        <v>0</v>
      </c>
      <c r="E61" s="31">
        <f>'июнь 2014г. по 6-10'!E61+'июнь 2014г. по 0,4'!E58</f>
        <v>0</v>
      </c>
      <c r="F61" s="31">
        <f>'июнь 2014г. по 6-10'!F61+'июнь 2014г. по 0,4'!F58</f>
        <v>0</v>
      </c>
      <c r="G61" s="31">
        <f>'июнь 2014г. по 6-10'!G61+'июнь 2014г. по 0,4'!G58</f>
        <v>0</v>
      </c>
      <c r="H61" s="24">
        <v>0</v>
      </c>
      <c r="I61" s="24">
        <v>0</v>
      </c>
      <c r="J61" s="31">
        <f>'июнь 2014г. по 6-10'!J61+'июнь 2014г. по 0,4'!J58</f>
        <v>0</v>
      </c>
      <c r="K61" s="31">
        <f>'июнь 2014г. по 6-10'!K61+'июнь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'июнь 2014г. по 6-10'!D62+'июнь 2014г. по 0,4'!D59</f>
        <v>0</v>
      </c>
      <c r="E62" s="31">
        <f>'июнь 2014г. по 6-10'!E62+'июнь 2014г. по 0,4'!E59</f>
        <v>0</v>
      </c>
      <c r="F62" s="31">
        <f>'июнь 2014г. по 6-10'!F62+'июнь 2014г. по 0,4'!F59</f>
        <v>0</v>
      </c>
      <c r="G62" s="31">
        <f>'июнь 2014г. по 6-10'!G62+'июнь 2014г. по 0,4'!G59</f>
        <v>0</v>
      </c>
      <c r="H62" s="24">
        <v>0</v>
      </c>
      <c r="I62" s="24">
        <v>0</v>
      </c>
      <c r="J62" s="31">
        <f>'июнь 2014г. по 6-10'!J62+'июнь 2014г. по 0,4'!J59</f>
        <v>0</v>
      </c>
      <c r="K62" s="31">
        <f>'июнь 2014г. по 6-10'!K62+'июнь 2014г. по 0,4'!K59</f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23</v>
      </c>
      <c r="E63" s="29">
        <f t="shared" ref="E63:Q63" si="3">E54+E55+E56+E57+E58+E59+E60+E61+E62</f>
        <v>1191</v>
      </c>
      <c r="F63" s="29">
        <f t="shared" si="3"/>
        <v>23</v>
      </c>
      <c r="G63" s="29">
        <f t="shared" si="3"/>
        <v>1191</v>
      </c>
      <c r="H63" s="29">
        <f t="shared" si="3"/>
        <v>4</v>
      </c>
      <c r="I63" s="29">
        <f t="shared" si="3"/>
        <v>745</v>
      </c>
      <c r="J63" s="29">
        <f t="shared" si="3"/>
        <v>4</v>
      </c>
      <c r="K63" s="29">
        <f t="shared" si="3"/>
        <v>35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16" t="s">
        <v>60</v>
      </c>
      <c r="D64" s="116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'июнь 2014г. по 6-10'!D64+'июнь 2014г. по 0,4'!D61</f>
        <v>265</v>
      </c>
      <c r="E65" s="31">
        <f>'июнь 2014г. по 6-10'!E64+'июнь 2014г. по 0,4'!E61</f>
        <v>9256.1</v>
      </c>
      <c r="F65" s="31">
        <f>'июнь 2014г. по 6-10'!F64+'июнь 2014г. по 0,4'!F61</f>
        <v>265</v>
      </c>
      <c r="G65" s="31">
        <f>'июнь 2014г. по 6-10'!G64+'июнь 2014г. по 0,4'!G61</f>
        <v>9256.1</v>
      </c>
      <c r="H65" s="24">
        <v>0</v>
      </c>
      <c r="I65" s="24">
        <v>0</v>
      </c>
      <c r="J65" s="31">
        <f>'июнь 2014г. по 6-10'!J64+'июнь 2014г. по 0,4'!J61</f>
        <v>20</v>
      </c>
      <c r="K65" s="31">
        <f>'июнь 2014г. по 6-10'!K64+'июнь 2014г. по 0,4'!K61</f>
        <v>184.5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'июнь 2014г. по 6-10'!D65+'июнь 2014г. по 0,4'!D62</f>
        <v>0</v>
      </c>
      <c r="E66" s="31">
        <f>'июнь 2014г. по 6-10'!E65+'июнь 2014г. по 0,4'!E62</f>
        <v>0</v>
      </c>
      <c r="F66" s="31">
        <f>'июнь 2014г. по 6-10'!F65+'июнь 2014г. по 0,4'!F62</f>
        <v>0</v>
      </c>
      <c r="G66" s="31">
        <f>'июнь 2014г. по 6-10'!G65+'июнь 2014г. по 0,4'!G62</f>
        <v>0</v>
      </c>
      <c r="H66" s="24">
        <v>0</v>
      </c>
      <c r="I66" s="24">
        <v>0</v>
      </c>
      <c r="J66" s="31">
        <f>'июнь 2014г. по 6-10'!J65+'июнь 2014г. по 0,4'!J62</f>
        <v>0</v>
      </c>
      <c r="K66" s="31">
        <f>'июнь 2014г. по 6-10'!K65+'июнь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'июнь 2014г. по 6-10'!D66+'июнь 2014г. по 0,4'!D63</f>
        <v>36</v>
      </c>
      <c r="E67" s="31">
        <f>'июнь 2014г. по 6-10'!E66+'июнь 2014г. по 0,4'!E63</f>
        <v>773</v>
      </c>
      <c r="F67" s="31">
        <f>'июнь 2014г. по 6-10'!F66+'июнь 2014г. по 0,4'!F63</f>
        <v>36</v>
      </c>
      <c r="G67" s="31">
        <f>'июнь 2014г. по 6-10'!G66+'июнь 2014г. по 0,4'!G63</f>
        <v>773</v>
      </c>
      <c r="H67" s="24">
        <v>0</v>
      </c>
      <c r="I67" s="24">
        <v>0</v>
      </c>
      <c r="J67" s="31">
        <f>'июнь 2014г. по 6-10'!J66+'июнь 2014г. по 0,4'!J63</f>
        <v>5</v>
      </c>
      <c r="K67" s="31">
        <f>'июнь 2014г. по 6-10'!K66+'июнь 2014г. по 0,4'!K63</f>
        <v>52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'июнь 2014г. по 6-10'!D67+'июнь 2014г. по 0,4'!D64</f>
        <v>34</v>
      </c>
      <c r="E68" s="31">
        <f>'июнь 2014г. по 6-10'!E67+'июнь 2014г. по 0,4'!E64</f>
        <v>636.5</v>
      </c>
      <c r="F68" s="31">
        <f>'июнь 2014г. по 6-10'!F67+'июнь 2014г. по 0,4'!F64</f>
        <v>34</v>
      </c>
      <c r="G68" s="31">
        <f>'июнь 2014г. по 6-10'!G67+'июнь 2014г. по 0,4'!G64</f>
        <v>636.5</v>
      </c>
      <c r="H68" s="24">
        <v>0</v>
      </c>
      <c r="I68" s="24">
        <v>0</v>
      </c>
      <c r="J68" s="31">
        <f>'июнь 2014г. по 6-10'!J67+'июнь 2014г. по 0,4'!J64</f>
        <v>4</v>
      </c>
      <c r="K68" s="31">
        <f>'июнь 2014г. по 6-10'!K67+'июнь 2014г. по 0,4'!K64</f>
        <v>50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'июнь 2014г. по 6-10'!D68+'июнь 2014г. по 0,4'!D65</f>
        <v>8</v>
      </c>
      <c r="E69" s="31">
        <f>'июнь 2014г. по 6-10'!E68+'июнь 2014г. по 0,4'!E65</f>
        <v>619.5</v>
      </c>
      <c r="F69" s="31">
        <f>'июнь 2014г. по 6-10'!F68+'июнь 2014г. по 0,4'!F65</f>
        <v>8</v>
      </c>
      <c r="G69" s="31">
        <f>'июнь 2014г. по 6-10'!G68+'июнь 2014г. по 0,4'!G65</f>
        <v>619.5</v>
      </c>
      <c r="H69" s="24">
        <v>0</v>
      </c>
      <c r="I69" s="24">
        <v>0</v>
      </c>
      <c r="J69" s="31">
        <f>'июнь 2014г. по 6-10'!J68+'июнь 2014г. по 0,4'!J65</f>
        <v>2</v>
      </c>
      <c r="K69" s="31">
        <f>'июнь 2014г. по 6-10'!K68+'июнь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343</v>
      </c>
      <c r="E70" s="29">
        <f t="shared" ref="E70:Q70" si="4">E65+E66+E67+E68+E69</f>
        <v>11285.1</v>
      </c>
      <c r="F70" s="29">
        <f t="shared" si="4"/>
        <v>343</v>
      </c>
      <c r="G70" s="29">
        <f t="shared" si="4"/>
        <v>11285.1</v>
      </c>
      <c r="H70" s="29">
        <f t="shared" si="4"/>
        <v>0</v>
      </c>
      <c r="I70" s="29">
        <f t="shared" si="4"/>
        <v>0</v>
      </c>
      <c r="J70" s="29">
        <f t="shared" si="4"/>
        <v>31</v>
      </c>
      <c r="K70" s="29">
        <f t="shared" si="4"/>
        <v>296.5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16" t="s">
        <v>66</v>
      </c>
      <c r="D71" s="116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'июнь 2014г. по 6-10'!D71+'июнь 2014г. по 0,4'!D68</f>
        <v>1</v>
      </c>
      <c r="E72" s="31">
        <f>'июнь 2014г. по 6-10'!E71+'июнь 2014г. по 0,4'!E68</f>
        <v>10</v>
      </c>
      <c r="F72" s="31">
        <f>'июнь 2014г. по 6-10'!F71+'июнь 2014г. по 0,4'!F68</f>
        <v>1</v>
      </c>
      <c r="G72" s="31">
        <f>'июнь 2014г. по 6-10'!G71+'июнь 2014г. по 0,4'!G68</f>
        <v>10</v>
      </c>
      <c r="H72" s="24">
        <v>0</v>
      </c>
      <c r="I72" s="24">
        <v>0</v>
      </c>
      <c r="J72" s="31">
        <f>'июнь 2014г. по 6-10'!J71+'июнь 2014г. по 0,4'!J68</f>
        <v>0</v>
      </c>
      <c r="K72" s="31">
        <f>'июнь 2014г. по 6-10'!K71+'июнь 2014г. по 0,4'!K68</f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'июнь 2014г. по 6-10'!D72+'июнь 2014г. по 0,4'!D69</f>
        <v>4</v>
      </c>
      <c r="E73" s="31">
        <f>'июнь 2014г. по 6-10'!E72+'июнь 2014г. по 0,4'!E69</f>
        <v>32.5</v>
      </c>
      <c r="F73" s="31">
        <f>'июнь 2014г. по 6-10'!F72+'июнь 2014г. по 0,4'!F69</f>
        <v>4</v>
      </c>
      <c r="G73" s="31">
        <f>'июнь 2014г. по 6-10'!G72+'июнь 2014г. по 0,4'!G69</f>
        <v>32.5</v>
      </c>
      <c r="H73" s="24">
        <v>0</v>
      </c>
      <c r="I73" s="24">
        <v>0</v>
      </c>
      <c r="J73" s="31">
        <f>'июнь 2014г. по 6-10'!J72+'июнь 2014г. по 0,4'!J69</f>
        <v>0</v>
      </c>
      <c r="K73" s="31">
        <f>'июнь 2014г. по 6-10'!K72+'июнь 2014г. по 0,4'!K69</f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'июнь 2014г. по 6-10'!D73+'июнь 2014г. по 0,4'!D70</f>
        <v>0</v>
      </c>
      <c r="E74" s="31">
        <f>'июнь 2014г. по 6-10'!E73+'июнь 2014г. по 0,4'!E70</f>
        <v>0</v>
      </c>
      <c r="F74" s="31">
        <f>'июнь 2014г. по 6-10'!F73+'июнь 2014г. по 0,4'!F70</f>
        <v>0</v>
      </c>
      <c r="G74" s="31">
        <f>'июнь 2014г. по 6-10'!G73+'июнь 2014г. по 0,4'!G70</f>
        <v>0</v>
      </c>
      <c r="H74" s="24">
        <v>1</v>
      </c>
      <c r="I74" s="24">
        <v>5.6</v>
      </c>
      <c r="J74" s="31">
        <f>'июнь 2014г. по 6-10'!J73+'июнь 2014г. по 0,4'!J70</f>
        <v>0</v>
      </c>
      <c r="K74" s="31">
        <f>'июнь 2014г. по 6-10'!K73+'июнь 2014г. по 0,4'!K70</f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'июнь 2014г. по 6-10'!D74+'июнь 2014г. по 0,4'!D71</f>
        <v>4</v>
      </c>
      <c r="E75" s="31">
        <f>'июнь 2014г. по 6-10'!E74+'июнь 2014г. по 0,4'!E71</f>
        <v>40</v>
      </c>
      <c r="F75" s="31">
        <f>'июнь 2014г. по 6-10'!F74+'июнь 2014г. по 0,4'!F71</f>
        <v>4</v>
      </c>
      <c r="G75" s="31">
        <f>'июнь 2014г. по 6-10'!G74+'июнь 2014г. по 0,4'!G71</f>
        <v>40</v>
      </c>
      <c r="H75" s="24">
        <v>1</v>
      </c>
      <c r="I75" s="24">
        <v>6</v>
      </c>
      <c r="J75" s="31">
        <f>'июнь 2014г. по 6-10'!J74+'июнь 2014г. по 0,4'!J71</f>
        <v>0</v>
      </c>
      <c r="K75" s="31">
        <f>'июнь 2014г. по 6-10'!K74+'июнь 2014г. по 0,4'!K71</f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'июнь 2014г. по 6-10'!D75+'июнь 2014г. по 0,4'!D72</f>
        <v>1</v>
      </c>
      <c r="E76" s="31">
        <f>'июнь 2014г. по 6-10'!E75+'июнь 2014г. по 0,4'!E72</f>
        <v>6</v>
      </c>
      <c r="F76" s="31">
        <f>'июнь 2014г. по 6-10'!F75+'июнь 2014г. по 0,4'!F72</f>
        <v>1</v>
      </c>
      <c r="G76" s="31">
        <f>'июнь 2014г. по 6-10'!G75+'июнь 2014г. по 0,4'!G72</f>
        <v>6</v>
      </c>
      <c r="H76" s="24">
        <v>0</v>
      </c>
      <c r="I76" s="24">
        <v>0</v>
      </c>
      <c r="J76" s="31">
        <f>'июнь 2014г. по 6-10'!J75+'июнь 2014г. по 0,4'!J72</f>
        <v>0</v>
      </c>
      <c r="K76" s="31">
        <f>'июнь 2014г. по 6-10'!K75+'июнь 2014г. по 0,4'!K72</f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'июнь 2014г. по 6-10'!D76+'июнь 2014г. по 0,4'!D73</f>
        <v>0</v>
      </c>
      <c r="E77" s="31">
        <f>'июнь 2014г. по 6-10'!E76+'июнь 2014г. по 0,4'!E73</f>
        <v>0</v>
      </c>
      <c r="F77" s="31">
        <f>'июнь 2014г. по 6-10'!F76+'июнь 2014г. по 0,4'!F73</f>
        <v>0</v>
      </c>
      <c r="G77" s="31">
        <f>'июнь 2014г. по 6-10'!G76+'июнь 2014г. по 0,4'!G73</f>
        <v>0</v>
      </c>
      <c r="H77" s="24">
        <v>0</v>
      </c>
      <c r="I77" s="24">
        <v>0</v>
      </c>
      <c r="J77" s="31">
        <f>'июнь 2014г. по 6-10'!J76+'июнь 2014г. по 0,4'!J73</f>
        <v>0</v>
      </c>
      <c r="K77" s="31">
        <f>'июнь 2014г. по 6-10'!K76+'июнь 2014г. по 0,4'!K73</f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10</v>
      </c>
      <c r="E78" s="29">
        <f t="shared" ref="E78:Q78" si="5">E72+E73+E74+E75+E76+E77</f>
        <v>88.5</v>
      </c>
      <c r="F78" s="29">
        <f t="shared" si="5"/>
        <v>10</v>
      </c>
      <c r="G78" s="29">
        <f t="shared" si="5"/>
        <v>88.5</v>
      </c>
      <c r="H78" s="29">
        <f t="shared" si="5"/>
        <v>2</v>
      </c>
      <c r="I78" s="29">
        <f t="shared" si="5"/>
        <v>11.6</v>
      </c>
      <c r="J78" s="29">
        <f t="shared" si="5"/>
        <v>0</v>
      </c>
      <c r="K78" s="29">
        <f t="shared" si="5"/>
        <v>0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16" t="s">
        <v>73</v>
      </c>
      <c r="D79" s="116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'июнь 2014г. по 6-10'!D79+'июнь 2014г. по 0,4'!D76</f>
        <v>0</v>
      </c>
      <c r="E80" s="31">
        <f>'июнь 2014г. по 6-10'!E79+'июнь 2014г. по 0,4'!E76</f>
        <v>0</v>
      </c>
      <c r="F80" s="31">
        <f>'июнь 2014г. по 6-10'!F79+'июнь 2014г. по 0,4'!F76</f>
        <v>0</v>
      </c>
      <c r="G80" s="31">
        <f>'июнь 2014г. по 6-10'!G79+'июнь 2014г. по 0,4'!G76</f>
        <v>0</v>
      </c>
      <c r="H80" s="24">
        <v>0</v>
      </c>
      <c r="I80" s="24">
        <v>0</v>
      </c>
      <c r="J80" s="31">
        <f>'июнь 2014г. по 6-10'!J79+'июнь 2014г. по 0,4'!J76</f>
        <v>0</v>
      </c>
      <c r="K80" s="31">
        <f>'июнь 2014г. по 6-10'!K79+'июнь 2014г. по 0,4'!K76</f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'июнь 2014г. по 6-10'!D80+'июнь 2014г. по 0,4'!D77</f>
        <v>1</v>
      </c>
      <c r="E81" s="31">
        <f>'июнь 2014г. по 6-10'!E80+'июнь 2014г. по 0,4'!E77</f>
        <v>7</v>
      </c>
      <c r="F81" s="31">
        <f>'июнь 2014г. по 6-10'!F80+'июнь 2014г. по 0,4'!F77</f>
        <v>1</v>
      </c>
      <c r="G81" s="31">
        <f>'июнь 2014г. по 6-10'!G80+'июнь 2014г. по 0,4'!G77</f>
        <v>7</v>
      </c>
      <c r="H81" s="24">
        <v>1</v>
      </c>
      <c r="I81" s="24">
        <v>5</v>
      </c>
      <c r="J81" s="31">
        <f>'июнь 2014г. по 6-10'!J80+'июнь 2014г. по 0,4'!J77</f>
        <v>0</v>
      </c>
      <c r="K81" s="31">
        <f>'июнь 2014г. по 6-10'!K80+'июнь 2014г. по 0,4'!K77</f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'июнь 2014г. по 6-10'!D81+'июнь 2014г. по 0,4'!D78</f>
        <v>6</v>
      </c>
      <c r="E82" s="31">
        <f>'июнь 2014г. по 6-10'!E81+'июнь 2014г. по 0,4'!E78</f>
        <v>65</v>
      </c>
      <c r="F82" s="31">
        <f>'июнь 2014г. по 6-10'!F81+'июнь 2014г. по 0,4'!F78</f>
        <v>6</v>
      </c>
      <c r="G82" s="31">
        <f>'июнь 2014г. по 6-10'!G81+'июнь 2014г. по 0,4'!G78</f>
        <v>65</v>
      </c>
      <c r="H82" s="24">
        <v>0</v>
      </c>
      <c r="I82" s="24">
        <v>0</v>
      </c>
      <c r="J82" s="31">
        <f>'июнь 2014г. по 6-10'!J81+'июнь 2014г. по 0,4'!J78</f>
        <v>1</v>
      </c>
      <c r="K82" s="31">
        <f>'июнь 2014г. по 6-10'!K81+'июнь 2014г. по 0,4'!K78</f>
        <v>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'июнь 2014г. по 6-10'!D82+'июнь 2014г. по 0,4'!D79</f>
        <v>1</v>
      </c>
      <c r="E83" s="31">
        <f>'июнь 2014г. по 6-10'!E82+'июнь 2014г. по 0,4'!E79</f>
        <v>5</v>
      </c>
      <c r="F83" s="31">
        <f>'июнь 2014г. по 6-10'!F82+'июнь 2014г. по 0,4'!F79</f>
        <v>1</v>
      </c>
      <c r="G83" s="31">
        <f>'июнь 2014г. по 6-10'!G82+'июнь 2014г. по 0,4'!G79</f>
        <v>5</v>
      </c>
      <c r="H83" s="24">
        <v>0</v>
      </c>
      <c r="I83" s="24">
        <v>0</v>
      </c>
      <c r="J83" s="31">
        <f>'июнь 2014г. по 6-10'!J82+'июнь 2014г. по 0,4'!J79</f>
        <v>0</v>
      </c>
      <c r="K83" s="31">
        <f>'июнь 2014г. по 6-10'!K82+'июнь 2014г. по 0,4'!K79</f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'июнь 2014г. по 6-10'!D83+'июнь 2014г. по 0,4'!D80</f>
        <v>4</v>
      </c>
      <c r="E84" s="31">
        <f>'июнь 2014г. по 6-10'!E83+'июнь 2014г. по 0,4'!E80</f>
        <v>120</v>
      </c>
      <c r="F84" s="31">
        <f>'июнь 2014г. по 6-10'!F83+'июнь 2014г. по 0,4'!F80</f>
        <v>4</v>
      </c>
      <c r="G84" s="31">
        <f>'июнь 2014г. по 6-10'!G83+'июнь 2014г. по 0,4'!G80</f>
        <v>120</v>
      </c>
      <c r="H84" s="24">
        <v>0</v>
      </c>
      <c r="I84" s="24">
        <v>0</v>
      </c>
      <c r="J84" s="31">
        <f>'июнь 2014г. по 6-10'!J83+'июнь 2014г. по 0,4'!J80</f>
        <v>0</v>
      </c>
      <c r="K84" s="31">
        <f>'июнь 2014г. по 6-10'!K83+'июнь 2014г. по 0,4'!K80</f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'июнь 2014г. по 6-10'!D84+'июнь 2014г. по 0,4'!D81</f>
        <v>4</v>
      </c>
      <c r="E85" s="31">
        <f>'июнь 2014г. по 6-10'!E84+'июнь 2014г. по 0,4'!E81</f>
        <v>35</v>
      </c>
      <c r="F85" s="31">
        <f>'июнь 2014г. по 6-10'!F84+'июнь 2014г. по 0,4'!F81</f>
        <v>4</v>
      </c>
      <c r="G85" s="31">
        <f>'июнь 2014г. по 6-10'!G84+'июнь 2014г. по 0,4'!G81</f>
        <v>35</v>
      </c>
      <c r="H85" s="24">
        <v>0</v>
      </c>
      <c r="I85" s="24">
        <v>0</v>
      </c>
      <c r="J85" s="31">
        <f>'июнь 2014г. по 6-10'!J84+'июнь 2014г. по 0,4'!J81</f>
        <v>0</v>
      </c>
      <c r="K85" s="31">
        <f>'июнь 2014г. по 6-10'!K84+'июнь 2014г. по 0,4'!K81</f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'июнь 2014г. по 6-10'!D85+'июнь 2014г. по 0,4'!D82</f>
        <v>2</v>
      </c>
      <c r="E86" s="31">
        <f>'июнь 2014г. по 6-10'!E85+'июнь 2014г. по 0,4'!E82</f>
        <v>19</v>
      </c>
      <c r="F86" s="31">
        <f>'июнь 2014г. по 6-10'!F85+'июнь 2014г. по 0,4'!F82</f>
        <v>2</v>
      </c>
      <c r="G86" s="31">
        <f>'июнь 2014г. по 6-10'!G85+'июнь 2014г. по 0,4'!G82</f>
        <v>19</v>
      </c>
      <c r="H86" s="24">
        <v>0</v>
      </c>
      <c r="I86" s="24">
        <v>0</v>
      </c>
      <c r="J86" s="31">
        <f>'июнь 2014г. по 6-10'!J85+'июнь 2014г. по 0,4'!J82</f>
        <v>1</v>
      </c>
      <c r="K86" s="31">
        <f>'июнь 2014г. по 6-10'!K85+'июнь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'июнь 2014г. по 6-10'!D86+'июнь 2014г. по 0,4'!D83</f>
        <v>5</v>
      </c>
      <c r="E87" s="31">
        <f>'июнь 2014г. по 6-10'!E86+'июнь 2014г. по 0,4'!E83</f>
        <v>43.5</v>
      </c>
      <c r="F87" s="31">
        <f>'июнь 2014г. по 6-10'!F86+'июнь 2014г. по 0,4'!F83</f>
        <v>5</v>
      </c>
      <c r="G87" s="31">
        <f>'июнь 2014г. по 6-10'!G86+'июнь 2014г. по 0,4'!G83</f>
        <v>43.5</v>
      </c>
      <c r="H87" s="24">
        <v>0</v>
      </c>
      <c r="I87" s="24">
        <v>0</v>
      </c>
      <c r="J87" s="31">
        <f>'июнь 2014г. по 6-10'!J86+'июнь 2014г. по 0,4'!J83</f>
        <v>0</v>
      </c>
      <c r="K87" s="31">
        <f>'июнь 2014г. по 6-10'!K86+'июнь 2014г. по 0,4'!K83</f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'июнь 2014г. по 6-10'!D87+'июнь 2014г. по 0,4'!D84</f>
        <v>2</v>
      </c>
      <c r="E88" s="31">
        <f>'июнь 2014г. по 6-10'!E87+'июнь 2014г. по 0,4'!E84</f>
        <v>20</v>
      </c>
      <c r="F88" s="31">
        <f>'июнь 2014г. по 6-10'!F87+'июнь 2014г. по 0,4'!F84</f>
        <v>2</v>
      </c>
      <c r="G88" s="31">
        <f>'июнь 2014г. по 6-10'!G87+'июнь 2014г. по 0,4'!G84</f>
        <v>20</v>
      </c>
      <c r="H88" s="24">
        <v>0</v>
      </c>
      <c r="I88" s="24">
        <v>0</v>
      </c>
      <c r="J88" s="31">
        <f>'июнь 2014г. по 6-10'!J87+'июнь 2014г. по 0,4'!J84</f>
        <v>0</v>
      </c>
      <c r="K88" s="31">
        <f>'июнь 2014г. по 6-10'!K87+'июнь 2014г. по 0,4'!K84</f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'июнь 2014г. по 6-10'!D88+'июнь 2014г. по 0,4'!D85</f>
        <v>1</v>
      </c>
      <c r="E89" s="31">
        <f>'июнь 2014г. по 6-10'!E88+'июнь 2014г. по 0,4'!E85</f>
        <v>15</v>
      </c>
      <c r="F89" s="31">
        <f>'июнь 2014г. по 6-10'!F88+'июнь 2014г. по 0,4'!F85</f>
        <v>1</v>
      </c>
      <c r="G89" s="31">
        <f>'июнь 2014г. по 6-10'!G88+'июнь 2014г. по 0,4'!G85</f>
        <v>15</v>
      </c>
      <c r="H89" s="24">
        <v>0</v>
      </c>
      <c r="I89" s="24">
        <v>0</v>
      </c>
      <c r="J89" s="31">
        <f>'июнь 2014г. по 6-10'!J88+'июнь 2014г. по 0,4'!J85</f>
        <v>0</v>
      </c>
      <c r="K89" s="31">
        <f>'июнь 2014г. по 6-10'!K88+'июнь 2014г. по 0,4'!K85</f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'июнь 2014г. по 6-10'!D89+'июнь 2014г. по 0,4'!D86</f>
        <v>0</v>
      </c>
      <c r="E90" s="31">
        <f>'июнь 2014г. по 6-10'!E89+'июнь 2014г. по 0,4'!E86</f>
        <v>0</v>
      </c>
      <c r="F90" s="31">
        <f>'июнь 2014г. по 6-10'!F89+'июнь 2014г. по 0,4'!F86</f>
        <v>0</v>
      </c>
      <c r="G90" s="31">
        <f>'июнь 2014г. по 6-10'!G89+'июнь 2014г. по 0,4'!G86</f>
        <v>0</v>
      </c>
      <c r="H90" s="24">
        <v>0</v>
      </c>
      <c r="I90" s="24">
        <v>0</v>
      </c>
      <c r="J90" s="31">
        <f>'июнь 2014г. по 6-10'!J89+'июнь 2014г. по 0,4'!J86</f>
        <v>0</v>
      </c>
      <c r="K90" s="31">
        <f>'июнь 2014г. по 6-10'!K89+'июнь 2014г. по 0,4'!K86</f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26</v>
      </c>
      <c r="E91" s="29">
        <f t="shared" ref="E91:Q91" si="6">E80+E81+E82+E83+E84+E85+E86+E87+E88+E89+E90</f>
        <v>329.5</v>
      </c>
      <c r="F91" s="29">
        <f t="shared" si="6"/>
        <v>26</v>
      </c>
      <c r="G91" s="29">
        <f t="shared" si="6"/>
        <v>329.5</v>
      </c>
      <c r="H91" s="29">
        <f t="shared" si="6"/>
        <v>1</v>
      </c>
      <c r="I91" s="29">
        <f t="shared" si="6"/>
        <v>5</v>
      </c>
      <c r="J91" s="29">
        <f t="shared" si="6"/>
        <v>2</v>
      </c>
      <c r="K91" s="29">
        <f t="shared" si="6"/>
        <v>12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16" t="s">
        <v>85</v>
      </c>
      <c r="D92" s="116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'июнь 2014г. по 6-10'!D92+'июнь 2014г. по 0,4'!D89</f>
        <v>1</v>
      </c>
      <c r="E93" s="31">
        <f>'июнь 2014г. по 6-10'!E92+'июнь 2014г. по 0,4'!E89</f>
        <v>15</v>
      </c>
      <c r="F93" s="31">
        <f>'июнь 2014г. по 6-10'!F92+'июнь 2014г. по 0,4'!F89</f>
        <v>1</v>
      </c>
      <c r="G93" s="31">
        <f>'июнь 2014г. по 6-10'!G92+'июнь 2014г. по 0,4'!G89</f>
        <v>15</v>
      </c>
      <c r="H93" s="24">
        <v>1</v>
      </c>
      <c r="I93" s="24">
        <v>15</v>
      </c>
      <c r="J93" s="31">
        <f>'июнь 2014г. по 6-10'!J92+'июнь 2014г. по 0,4'!J89</f>
        <v>0</v>
      </c>
      <c r="K93" s="31">
        <f>'июнь 2014г. по 6-10'!K92+'июнь 2014г. по 0,4'!K89</f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'июнь 2014г. по 6-10'!D93+'июнь 2014г. по 0,4'!D90</f>
        <v>10</v>
      </c>
      <c r="E94" s="31">
        <f>'июнь 2014г. по 6-10'!E93+'июнь 2014г. по 0,4'!E90</f>
        <v>112</v>
      </c>
      <c r="F94" s="31">
        <f>'июнь 2014г. по 6-10'!F93+'июнь 2014г. по 0,4'!F90</f>
        <v>10</v>
      </c>
      <c r="G94" s="31">
        <f>'июнь 2014г. по 6-10'!G93+'июнь 2014г. по 0,4'!G90</f>
        <v>112</v>
      </c>
      <c r="H94" s="24">
        <v>0</v>
      </c>
      <c r="I94" s="24">
        <v>0</v>
      </c>
      <c r="J94" s="31">
        <f>'июнь 2014г. по 6-10'!J93+'июнь 2014г. по 0,4'!J90</f>
        <v>0</v>
      </c>
      <c r="K94" s="31">
        <f>'июнь 2014г. по 6-10'!K93+'июнь 2014г. по 0,4'!K90</f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'июнь 2014г. по 6-10'!D94+'июнь 2014г. по 0,4'!D91</f>
        <v>0</v>
      </c>
      <c r="E95" s="31">
        <f>'июнь 2014г. по 6-10'!E94+'июнь 2014г. по 0,4'!E91</f>
        <v>0</v>
      </c>
      <c r="F95" s="31">
        <f>'июнь 2014г. по 6-10'!F94+'июнь 2014г. по 0,4'!F91</f>
        <v>0</v>
      </c>
      <c r="G95" s="31">
        <f>'июнь 2014г. по 6-10'!G94+'июнь 2014г. по 0,4'!G91</f>
        <v>0</v>
      </c>
      <c r="H95" s="24">
        <v>0</v>
      </c>
      <c r="I95" s="24">
        <v>0</v>
      </c>
      <c r="J95" s="31">
        <f>'июнь 2014г. по 6-10'!J94+'июнь 2014г. по 0,4'!J91</f>
        <v>0</v>
      </c>
      <c r="K95" s="31">
        <f>'июнь 2014г. по 6-10'!K94+'июнь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'июнь 2014г. по 6-10'!D95+'июнь 2014г. по 0,4'!D92</f>
        <v>0</v>
      </c>
      <c r="E96" s="31">
        <f>'июнь 2014г. по 6-10'!E95+'июнь 2014г. по 0,4'!E92</f>
        <v>0</v>
      </c>
      <c r="F96" s="31">
        <f>'июнь 2014г. по 6-10'!F95+'июнь 2014г. по 0,4'!F92</f>
        <v>0</v>
      </c>
      <c r="G96" s="31">
        <f>'июнь 2014г. по 6-10'!G95+'июнь 2014г. по 0,4'!G92</f>
        <v>0</v>
      </c>
      <c r="H96" s="24">
        <v>0</v>
      </c>
      <c r="I96" s="24">
        <v>0</v>
      </c>
      <c r="J96" s="31">
        <f>'июнь 2014г. по 6-10'!J95+'июнь 2014г. по 0,4'!J92</f>
        <v>0</v>
      </c>
      <c r="K96" s="31">
        <f>'июнь 2014г. по 6-10'!K95+'июнь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'июнь 2014г. по 6-10'!D96+'июнь 2014г. по 0,4'!D93</f>
        <v>1</v>
      </c>
      <c r="E97" s="31">
        <f>'июнь 2014г. по 6-10'!E96+'июнь 2014г. по 0,4'!E93</f>
        <v>6</v>
      </c>
      <c r="F97" s="31">
        <f>'июнь 2014г. по 6-10'!F96+'июнь 2014г. по 0,4'!F93</f>
        <v>1</v>
      </c>
      <c r="G97" s="31">
        <f>'июнь 2014г. по 6-10'!G96+'июнь 2014г. по 0,4'!G93</f>
        <v>6</v>
      </c>
      <c r="H97" s="24">
        <v>0</v>
      </c>
      <c r="I97" s="24">
        <v>0</v>
      </c>
      <c r="J97" s="31">
        <f>'июнь 2014г. по 6-10'!J96+'июнь 2014г. по 0,4'!J93</f>
        <v>0</v>
      </c>
      <c r="K97" s="31">
        <f>'июнь 2014г. по 6-10'!K96+'июнь 2014г. по 0,4'!K93</f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'июнь 2014г. по 6-10'!D97+'июнь 2014г. по 0,4'!D94</f>
        <v>6</v>
      </c>
      <c r="E98" s="31">
        <f>'июнь 2014г. по 6-10'!E97+'июнь 2014г. по 0,4'!E94</f>
        <v>94</v>
      </c>
      <c r="F98" s="31">
        <f>'июнь 2014г. по 6-10'!F97+'июнь 2014г. по 0,4'!F94</f>
        <v>6</v>
      </c>
      <c r="G98" s="31">
        <f>'июнь 2014г. по 6-10'!G97+'июнь 2014г. по 0,4'!G94</f>
        <v>94</v>
      </c>
      <c r="H98" s="24">
        <v>0</v>
      </c>
      <c r="I98" s="24">
        <v>0</v>
      </c>
      <c r="J98" s="31">
        <f>'июнь 2014г. по 6-10'!J97+'июнь 2014г. по 0,4'!J94</f>
        <v>0</v>
      </c>
      <c r="K98" s="31">
        <f>'июнь 2014г. по 6-10'!K97+'июнь 2014г. по 0,4'!K94</f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'июнь 2014г. по 6-10'!D98+'июнь 2014г. по 0,4'!D95</f>
        <v>2</v>
      </c>
      <c r="E99" s="31">
        <f>'июнь 2014г. по 6-10'!E98+'июнь 2014г. по 0,4'!E95</f>
        <v>25</v>
      </c>
      <c r="F99" s="31">
        <f>'июнь 2014г. по 6-10'!F98+'июнь 2014г. по 0,4'!F95</f>
        <v>2</v>
      </c>
      <c r="G99" s="31">
        <f>'июнь 2014г. по 6-10'!G98+'июнь 2014г. по 0,4'!G95</f>
        <v>25</v>
      </c>
      <c r="H99" s="24">
        <v>0</v>
      </c>
      <c r="I99" s="24">
        <v>0</v>
      </c>
      <c r="J99" s="31">
        <f>'июнь 2014г. по 6-10'!J98+'июнь 2014г. по 0,4'!J95</f>
        <v>0</v>
      </c>
      <c r="K99" s="31">
        <f>'июнь 2014г. по 6-10'!K98+'июнь 2014г. по 0,4'!K95</f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'июнь 2014г. по 6-10'!D99+'июнь 2014г. по 0,4'!D96</f>
        <v>4</v>
      </c>
      <c r="E100" s="31">
        <f>'июнь 2014г. по 6-10'!E99+'июнь 2014г. по 0,4'!E96</f>
        <v>33</v>
      </c>
      <c r="F100" s="31">
        <f>'июнь 2014г. по 6-10'!F99+'июнь 2014г. по 0,4'!F96</f>
        <v>4</v>
      </c>
      <c r="G100" s="31">
        <f>'июнь 2014г. по 6-10'!G99+'июнь 2014г. по 0,4'!G96</f>
        <v>33</v>
      </c>
      <c r="H100" s="24">
        <v>0</v>
      </c>
      <c r="I100" s="24">
        <v>0</v>
      </c>
      <c r="J100" s="31">
        <f>'июнь 2014г. по 6-10'!J99+'июнь 2014г. по 0,4'!J96</f>
        <v>1</v>
      </c>
      <c r="K100" s="31">
        <f>'июнь 2014г. по 6-10'!K99+'июнь 2014г. по 0,4'!K96</f>
        <v>6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'июнь 2014г. по 6-10'!D100+'июнь 2014г. по 0,4'!D97</f>
        <v>1</v>
      </c>
      <c r="E101" s="31">
        <f>'июнь 2014г. по 6-10'!E100+'июнь 2014г. по 0,4'!E97</f>
        <v>7</v>
      </c>
      <c r="F101" s="31">
        <f>'июнь 2014г. по 6-10'!F100+'июнь 2014г. по 0,4'!F97</f>
        <v>1</v>
      </c>
      <c r="G101" s="31">
        <f>'июнь 2014г. по 6-10'!G100+'июнь 2014г. по 0,4'!G97</f>
        <v>7</v>
      </c>
      <c r="H101" s="24">
        <v>0</v>
      </c>
      <c r="I101" s="24">
        <v>0</v>
      </c>
      <c r="J101" s="31">
        <f>'июнь 2014г. по 6-10'!J100+'июнь 2014г. по 0,4'!J97</f>
        <v>0</v>
      </c>
      <c r="K101" s="31">
        <f>'июнь 2014г. по 6-10'!K100+'июнь 2014г. по 0,4'!K97</f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25</v>
      </c>
      <c r="E102" s="29">
        <f t="shared" ref="E102:Q102" si="7">E93+E94+E95+E96+E97+E98+E99+E100+E101</f>
        <v>292</v>
      </c>
      <c r="F102" s="29">
        <f t="shared" si="7"/>
        <v>25</v>
      </c>
      <c r="G102" s="29">
        <f t="shared" si="7"/>
        <v>292</v>
      </c>
      <c r="H102" s="29">
        <f t="shared" si="7"/>
        <v>1</v>
      </c>
      <c r="I102" s="29">
        <f t="shared" si="7"/>
        <v>15</v>
      </c>
      <c r="J102" s="29">
        <f t="shared" si="7"/>
        <v>1</v>
      </c>
      <c r="K102" s="29">
        <f t="shared" si="7"/>
        <v>6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16" t="s">
        <v>94</v>
      </c>
      <c r="D103" s="116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'июнь 2014г. по 6-10'!D103+'июнь 2014г. по 0,4'!D100</f>
        <v>0</v>
      </c>
      <c r="E104" s="31">
        <f>'июнь 2014г. по 6-10'!E103+'июнь 2014г. по 0,4'!E100</f>
        <v>0</v>
      </c>
      <c r="F104" s="31">
        <f>'июнь 2014г. по 6-10'!F103+'июнь 2014г. по 0,4'!F100</f>
        <v>0</v>
      </c>
      <c r="G104" s="31">
        <f>'июнь 2014г. по 6-10'!G103+'июнь 2014г. по 0,4'!G100</f>
        <v>0</v>
      </c>
      <c r="H104" s="24">
        <v>1</v>
      </c>
      <c r="I104" s="24">
        <v>15</v>
      </c>
      <c r="J104" s="31">
        <f>'июнь 2014г. по 6-10'!J103+'июнь 2014г. по 0,4'!J100</f>
        <v>0</v>
      </c>
      <c r="K104" s="31">
        <f>'июнь 2014г. по 6-10'!K103+'июнь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'июнь 2014г. по 6-10'!D104+'июнь 2014г. по 0,4'!D101</f>
        <v>26</v>
      </c>
      <c r="E105" s="31">
        <f>'июнь 2014г. по 6-10'!E104+'июнь 2014г. по 0,4'!E101</f>
        <v>1642</v>
      </c>
      <c r="F105" s="31">
        <f>'июнь 2014г. по 6-10'!F104+'июнь 2014г. по 0,4'!F101</f>
        <v>26</v>
      </c>
      <c r="G105" s="31">
        <f>'июнь 2014г. по 6-10'!G104+'июнь 2014г. по 0,4'!G101</f>
        <v>1642</v>
      </c>
      <c r="H105" s="24">
        <v>0</v>
      </c>
      <c r="I105" s="24">
        <v>0</v>
      </c>
      <c r="J105" s="31">
        <f>'июнь 2014г. по 6-10'!J104+'июнь 2014г. по 0,4'!J101</f>
        <v>0</v>
      </c>
      <c r="K105" s="31">
        <f>'июнь 2014г. по 6-10'!K104+'июнь 2014г. по 0,4'!K101</f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'июнь 2014г. по 6-10'!D105+'июнь 2014г. по 0,4'!D102</f>
        <v>18</v>
      </c>
      <c r="E106" s="31">
        <f>'июнь 2014г. по 6-10'!E105+'июнь 2014г. по 0,4'!E102</f>
        <v>419</v>
      </c>
      <c r="F106" s="31">
        <f>'июнь 2014г. по 6-10'!F105+'июнь 2014г. по 0,4'!F102</f>
        <v>18</v>
      </c>
      <c r="G106" s="31">
        <f>'июнь 2014г. по 6-10'!G105+'июнь 2014г. по 0,4'!G102</f>
        <v>419</v>
      </c>
      <c r="H106" s="24">
        <v>0</v>
      </c>
      <c r="I106" s="24">
        <v>0</v>
      </c>
      <c r="J106" s="31">
        <f>'июнь 2014г. по 6-10'!J105+'июнь 2014г. по 0,4'!J102</f>
        <v>0</v>
      </c>
      <c r="K106" s="31">
        <f>'июнь 2014г. по 6-10'!K105+'июнь 2014г. по 0,4'!K102</f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'июнь 2014г. по 6-10'!D106+'июнь 2014г. по 0,4'!D103</f>
        <v>4</v>
      </c>
      <c r="E107" s="31">
        <f>'июнь 2014г. по 6-10'!E106+'июнь 2014г. по 0,4'!E103</f>
        <v>37</v>
      </c>
      <c r="F107" s="31">
        <f>'июнь 2014г. по 6-10'!F106+'июнь 2014г. по 0,4'!F103</f>
        <v>4</v>
      </c>
      <c r="G107" s="31">
        <f>'июнь 2014г. по 6-10'!G106+'июнь 2014г. по 0,4'!G103</f>
        <v>37</v>
      </c>
      <c r="H107" s="24">
        <v>0</v>
      </c>
      <c r="I107" s="24">
        <v>0</v>
      </c>
      <c r="J107" s="31">
        <f>'июнь 2014г. по 6-10'!J106+'июнь 2014г. по 0,4'!J103</f>
        <v>0</v>
      </c>
      <c r="K107" s="31">
        <f>'июнь 2014г. по 6-10'!K106+'июнь 2014г. по 0,4'!K103</f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'июнь 2014г. по 6-10'!D107+'июнь 2014г. по 0,4'!D104</f>
        <v>22</v>
      </c>
      <c r="E108" s="31">
        <f>'июнь 2014г. по 6-10'!E107+'июнь 2014г. по 0,4'!E104</f>
        <v>1043</v>
      </c>
      <c r="F108" s="31">
        <f>'июнь 2014г. по 6-10'!F107+'июнь 2014г. по 0,4'!F104</f>
        <v>22</v>
      </c>
      <c r="G108" s="31">
        <f>'июнь 2014г. по 6-10'!G107+'июнь 2014г. по 0,4'!G104</f>
        <v>1043</v>
      </c>
      <c r="H108" s="24">
        <v>0</v>
      </c>
      <c r="I108" s="24">
        <v>0</v>
      </c>
      <c r="J108" s="31">
        <f>'июнь 2014г. по 6-10'!J107+'июнь 2014г. по 0,4'!J104</f>
        <v>2</v>
      </c>
      <c r="K108" s="31">
        <f>'июнь 2014г. по 6-10'!K107+'июнь 2014г. по 0,4'!K104</f>
        <v>10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'июнь 2014г. по 6-10'!D108+'июнь 2014г. по 0,4'!D105</f>
        <v>9</v>
      </c>
      <c r="E109" s="31">
        <f>'июнь 2014г. по 6-10'!E108+'июнь 2014г. по 0,4'!E105</f>
        <v>164</v>
      </c>
      <c r="F109" s="31">
        <f>'июнь 2014г. по 6-10'!F108+'июнь 2014г. по 0,4'!F105</f>
        <v>9</v>
      </c>
      <c r="G109" s="31">
        <f>'июнь 2014г. по 6-10'!G108+'июнь 2014г. по 0,4'!G105</f>
        <v>164</v>
      </c>
      <c r="H109" s="24">
        <v>0</v>
      </c>
      <c r="I109" s="24">
        <v>0</v>
      </c>
      <c r="J109" s="31">
        <f>'июнь 2014г. по 6-10'!J108+'июнь 2014г. по 0,4'!J105</f>
        <v>1</v>
      </c>
      <c r="K109" s="31">
        <f>'июнь 2014г. по 6-10'!K108+'июнь 2014г. по 0,4'!K105</f>
        <v>10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'июнь 2014г. по 6-10'!D109+'июнь 2014г. по 0,4'!D106</f>
        <v>9</v>
      </c>
      <c r="E110" s="31">
        <f>'июнь 2014г. по 6-10'!E109+'июнь 2014г. по 0,4'!E106</f>
        <v>191.5</v>
      </c>
      <c r="F110" s="31">
        <f>'июнь 2014г. по 6-10'!F109+'июнь 2014г. по 0,4'!F106</f>
        <v>9</v>
      </c>
      <c r="G110" s="31">
        <f>'июнь 2014г. по 6-10'!G109+'июнь 2014г. по 0,4'!G106</f>
        <v>191.5</v>
      </c>
      <c r="H110" s="24">
        <v>0</v>
      </c>
      <c r="I110" s="24">
        <v>0</v>
      </c>
      <c r="J110" s="31">
        <f>'июнь 2014г. по 6-10'!J109+'июнь 2014г. по 0,4'!J106</f>
        <v>0</v>
      </c>
      <c r="K110" s="31">
        <f>'июнь 2014г. по 6-10'!K109+'июнь 2014г. по 0,4'!K106</f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'июнь 2014г. по 6-10'!D110+'июнь 2014г. по 0,4'!D107</f>
        <v>8</v>
      </c>
      <c r="E111" s="31">
        <f>'июнь 2014г. по 6-10'!E110+'июнь 2014г. по 0,4'!E107</f>
        <v>95</v>
      </c>
      <c r="F111" s="31">
        <f>'июнь 2014г. по 6-10'!F110+'июнь 2014г. по 0,4'!F107</f>
        <v>8</v>
      </c>
      <c r="G111" s="31">
        <f>'июнь 2014г. по 6-10'!G110+'июнь 2014г. по 0,4'!G107</f>
        <v>95</v>
      </c>
      <c r="H111" s="24">
        <v>0</v>
      </c>
      <c r="I111" s="24">
        <v>0</v>
      </c>
      <c r="J111" s="31">
        <f>'июнь 2014г. по 6-10'!J110+'июнь 2014г. по 0,4'!J107</f>
        <v>0</v>
      </c>
      <c r="K111" s="31">
        <f>'июнь 2014г. по 6-10'!K110+'июнь 2014г. по 0,4'!K107</f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'июнь 2014г. по 6-10'!D111+'июнь 2014г. по 0,4'!D108</f>
        <v>25</v>
      </c>
      <c r="E112" s="31">
        <f>'июнь 2014г. по 6-10'!E111+'июнь 2014г. по 0,4'!E108</f>
        <v>333</v>
      </c>
      <c r="F112" s="31">
        <f>'июнь 2014г. по 6-10'!F111+'июнь 2014г. по 0,4'!F108</f>
        <v>25</v>
      </c>
      <c r="G112" s="31">
        <f>'июнь 2014г. по 6-10'!G111+'июнь 2014г. по 0,4'!G108</f>
        <v>333</v>
      </c>
      <c r="H112" s="24">
        <v>2</v>
      </c>
      <c r="I112" s="24">
        <v>45</v>
      </c>
      <c r="J112" s="31">
        <f>'июнь 2014г. по 6-10'!J111+'июнь 2014г. по 0,4'!J108</f>
        <v>2</v>
      </c>
      <c r="K112" s="31">
        <f>'июнь 2014г. по 6-10'!K111+'июнь 2014г. по 0,4'!K108</f>
        <v>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'июнь 2014г. по 6-10'!D112+'июнь 2014г. по 0,4'!D109</f>
        <v>9</v>
      </c>
      <c r="E113" s="31">
        <f>'июнь 2014г. по 6-10'!E112+'июнь 2014г. по 0,4'!E109</f>
        <v>57</v>
      </c>
      <c r="F113" s="31">
        <f>'июнь 2014г. по 6-10'!F112+'июнь 2014г. по 0,4'!F109</f>
        <v>9</v>
      </c>
      <c r="G113" s="31">
        <f>'июнь 2014г. по 6-10'!G112+'июнь 2014г. по 0,4'!G109</f>
        <v>57</v>
      </c>
      <c r="H113" s="24">
        <v>0</v>
      </c>
      <c r="I113" s="24">
        <v>0</v>
      </c>
      <c r="J113" s="31">
        <f>'июнь 2014г. по 6-10'!J112+'июнь 2014г. по 0,4'!J109</f>
        <v>1</v>
      </c>
      <c r="K113" s="31">
        <f>'июнь 2014г. по 6-10'!K112+'июнь 2014г. по 0,4'!K109</f>
        <v>6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'июнь 2014г. по 6-10'!D113+'июнь 2014г. по 0,4'!D110</f>
        <v>3</v>
      </c>
      <c r="E114" s="31">
        <f>'июнь 2014г. по 6-10'!E113+'июнь 2014г. по 0,4'!E110</f>
        <v>5.4</v>
      </c>
      <c r="F114" s="31">
        <f>'июнь 2014г. по 6-10'!F113+'июнь 2014г. по 0,4'!F110</f>
        <v>3</v>
      </c>
      <c r="G114" s="31">
        <f>'июнь 2014г. по 6-10'!G113+'июнь 2014г. по 0,4'!G110</f>
        <v>5.4</v>
      </c>
      <c r="H114" s="24">
        <v>0</v>
      </c>
      <c r="I114" s="24">
        <v>0</v>
      </c>
      <c r="J114" s="31">
        <f>'июнь 2014г. по 6-10'!J113+'июнь 2014г. по 0,4'!J110</f>
        <v>0</v>
      </c>
      <c r="K114" s="31">
        <f>'июнь 2014г. по 6-10'!K113+'июнь 2014г. по 0,4'!K110</f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133</v>
      </c>
      <c r="E115" s="29">
        <f t="shared" ref="E115:Q115" si="8">E104+E105+E106+E107+E108+E109+E110+E111+E112+E113+E114</f>
        <v>3986.9</v>
      </c>
      <c r="F115" s="29">
        <f t="shared" si="8"/>
        <v>133</v>
      </c>
      <c r="G115" s="29">
        <f t="shared" si="8"/>
        <v>3986.9</v>
      </c>
      <c r="H115" s="29">
        <f t="shared" si="8"/>
        <v>3</v>
      </c>
      <c r="I115" s="29">
        <f t="shared" si="8"/>
        <v>60</v>
      </c>
      <c r="J115" s="29">
        <f t="shared" si="8"/>
        <v>6</v>
      </c>
      <c r="K115" s="29">
        <f t="shared" si="8"/>
        <v>41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16" t="s">
        <v>106</v>
      </c>
      <c r="D116" s="116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'июнь 2014г. по 6-10'!D116+'июнь 2014г. по 0,4'!D113</f>
        <v>0</v>
      </c>
      <c r="E117" s="31">
        <f>'июнь 2014г. по 6-10'!E116+'июнь 2014г. по 0,4'!E113</f>
        <v>0</v>
      </c>
      <c r="F117" s="31">
        <f>'июнь 2014г. по 6-10'!F116+'июнь 2014г. по 0,4'!F113</f>
        <v>0</v>
      </c>
      <c r="G117" s="31">
        <f>'июнь 2014г. по 6-10'!G116+'июнь 2014г. по 0,4'!G113</f>
        <v>0</v>
      </c>
      <c r="H117" s="29">
        <v>0</v>
      </c>
      <c r="I117" s="29">
        <v>0</v>
      </c>
      <c r="J117" s="31">
        <f>'июнь 2014г. по 6-10'!J116+'июнь 2014г. по 0,4'!J113</f>
        <v>0</v>
      </c>
      <c r="K117" s="31">
        <f>'июнь 2014г. по 6-10'!K116+'июнь 2014г. по 0,4'!K113</f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'июнь 2014г. по 6-10'!D117+'июнь 2014г. по 0,4'!D114</f>
        <v>19</v>
      </c>
      <c r="E118" s="31">
        <f>'июнь 2014г. по 6-10'!E117+'июнь 2014г. по 0,4'!E114</f>
        <v>1819.8</v>
      </c>
      <c r="F118" s="31">
        <f>'июнь 2014г. по 6-10'!F117+'июнь 2014г. по 0,4'!F114</f>
        <v>19</v>
      </c>
      <c r="G118" s="31">
        <f>'июнь 2014г. по 6-10'!G117+'июнь 2014г. по 0,4'!G114</f>
        <v>1819.8</v>
      </c>
      <c r="H118" s="29">
        <v>0</v>
      </c>
      <c r="I118" s="29">
        <v>0</v>
      </c>
      <c r="J118" s="31">
        <f>'июнь 2014г. по 6-10'!J117+'июнь 2014г. по 0,4'!J114</f>
        <v>1</v>
      </c>
      <c r="K118" s="31">
        <f>'июнь 2014г. по 6-10'!K117+'июнь 2014г. по 0,4'!K114</f>
        <v>15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'июнь 2014г. по 6-10'!D118+'июнь 2014г. по 0,4'!D115</f>
        <v>6</v>
      </c>
      <c r="E119" s="31">
        <f>'июнь 2014г. по 6-10'!E118+'июнь 2014г. по 0,4'!E115</f>
        <v>1134</v>
      </c>
      <c r="F119" s="31">
        <f>'июнь 2014г. по 6-10'!F118+'июнь 2014г. по 0,4'!F115</f>
        <v>6</v>
      </c>
      <c r="G119" s="31">
        <f>'июнь 2014г. по 6-10'!G118+'июнь 2014г. по 0,4'!G115</f>
        <v>1134</v>
      </c>
      <c r="H119" s="29">
        <v>0</v>
      </c>
      <c r="I119" s="29">
        <v>0</v>
      </c>
      <c r="J119" s="31">
        <f>'июнь 2014г. по 6-10'!J118+'июнь 2014г. по 0,4'!J115</f>
        <v>0</v>
      </c>
      <c r="K119" s="31">
        <f>'июнь 2014г. по 6-10'!K118+'июнь 2014г. по 0,4'!K115</f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'июнь 2014г. по 6-10'!D119+'июнь 2014г. по 0,4'!D116</f>
        <v>4</v>
      </c>
      <c r="E120" s="31">
        <f>'июнь 2014г. по 6-10'!E119+'июнь 2014г. по 0,4'!E116</f>
        <v>233</v>
      </c>
      <c r="F120" s="31">
        <f>'июнь 2014г. по 6-10'!F119+'июнь 2014г. по 0,4'!F116</f>
        <v>4</v>
      </c>
      <c r="G120" s="31">
        <f>'июнь 2014г. по 6-10'!G119+'июнь 2014г. по 0,4'!G116</f>
        <v>233</v>
      </c>
      <c r="H120" s="29">
        <v>0</v>
      </c>
      <c r="I120" s="29">
        <v>0</v>
      </c>
      <c r="J120" s="31">
        <f>'июнь 2014г. по 6-10'!J119+'июнь 2014г. по 0,4'!J116</f>
        <v>0</v>
      </c>
      <c r="K120" s="31">
        <f>'июнь 2014г. по 6-10'!K119+'июнь 2014г. по 0,4'!K116</f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'июнь 2014г. по 6-10'!D120+'июнь 2014г. по 0,4'!D117</f>
        <v>0</v>
      </c>
      <c r="E121" s="31">
        <f>'июнь 2014г. по 6-10'!E120+'июнь 2014г. по 0,4'!E117</f>
        <v>0</v>
      </c>
      <c r="F121" s="31">
        <f>'июнь 2014г. по 6-10'!F120+'июнь 2014г. по 0,4'!F117</f>
        <v>0</v>
      </c>
      <c r="G121" s="31">
        <f>'июнь 2014г. по 6-10'!G120+'июнь 2014г. по 0,4'!G117</f>
        <v>0</v>
      </c>
      <c r="H121" s="29">
        <v>0</v>
      </c>
      <c r="I121" s="29">
        <v>0</v>
      </c>
      <c r="J121" s="31">
        <f>'июнь 2014г. по 6-10'!J120+'июнь 2014г. по 0,4'!J117</f>
        <v>0</v>
      </c>
      <c r="K121" s="31">
        <f>'июнь 2014г. по 6-10'!K120+'июнь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'июнь 2014г. по 6-10'!D121+'июнь 2014г. по 0,4'!D118</f>
        <v>0</v>
      </c>
      <c r="E122" s="31">
        <f>'июнь 2014г. по 6-10'!E121+'июнь 2014г. по 0,4'!E118</f>
        <v>0</v>
      </c>
      <c r="F122" s="31">
        <f>'июнь 2014г. по 6-10'!F121+'июнь 2014г. по 0,4'!F118</f>
        <v>0</v>
      </c>
      <c r="G122" s="31">
        <f>'июнь 2014г. по 6-10'!G121+'июнь 2014г. по 0,4'!G118</f>
        <v>0</v>
      </c>
      <c r="H122" s="29">
        <v>0</v>
      </c>
      <c r="I122" s="29">
        <v>0</v>
      </c>
      <c r="J122" s="31">
        <f>'июнь 2014г. по 6-10'!J121+'июнь 2014г. по 0,4'!J118</f>
        <v>0</v>
      </c>
      <c r="K122" s="31">
        <f>'июнь 2014г. по 6-10'!K121+'июнь 2014г. по 0,4'!K118</f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'июнь 2014г. по 6-10'!D122+'июнь 2014г. по 0,4'!D119</f>
        <v>6</v>
      </c>
      <c r="E123" s="31">
        <f>'июнь 2014г. по 6-10'!E122+'июнь 2014г. по 0,4'!E119</f>
        <v>62.9</v>
      </c>
      <c r="F123" s="31">
        <f>'июнь 2014г. по 6-10'!F122+'июнь 2014г. по 0,4'!F119</f>
        <v>6</v>
      </c>
      <c r="G123" s="31">
        <f>'июнь 2014г. по 6-10'!G122+'июнь 2014г. по 0,4'!G119</f>
        <v>62.9</v>
      </c>
      <c r="H123" s="29">
        <v>0</v>
      </c>
      <c r="I123" s="29">
        <v>0</v>
      </c>
      <c r="J123" s="31">
        <f>'июнь 2014г. по 6-10'!J122+'июнь 2014г. по 0,4'!J119</f>
        <v>0</v>
      </c>
      <c r="K123" s="31">
        <f>'июнь 2014г. по 6-10'!K122+'июнь 2014г. по 0,4'!K119</f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'июнь 2014г. по 6-10'!D123+'июнь 2014г. по 0,4'!D120</f>
        <v>6</v>
      </c>
      <c r="E124" s="31">
        <f>'июнь 2014г. по 6-10'!E123+'июнь 2014г. по 0,4'!E120</f>
        <v>244</v>
      </c>
      <c r="F124" s="31">
        <f>'июнь 2014г. по 6-10'!F123+'июнь 2014г. по 0,4'!F120</f>
        <v>6</v>
      </c>
      <c r="G124" s="31">
        <f>'июнь 2014г. по 6-10'!G123+'июнь 2014г. по 0,4'!G120</f>
        <v>244</v>
      </c>
      <c r="H124" s="29">
        <v>0</v>
      </c>
      <c r="I124" s="29">
        <v>0</v>
      </c>
      <c r="J124" s="31">
        <f>'июнь 2014г. по 6-10'!J123+'июнь 2014г. по 0,4'!J120</f>
        <v>0</v>
      </c>
      <c r="K124" s="31">
        <f>'июнь 2014г. по 6-10'!K123+'июнь 2014г. по 0,4'!K120</f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'июнь 2014г. по 6-10'!D124+'июнь 2014г. по 0,4'!D121</f>
        <v>2</v>
      </c>
      <c r="E125" s="31">
        <f>'июнь 2014г. по 6-10'!E124+'июнь 2014г. по 0,4'!E121</f>
        <v>7.5</v>
      </c>
      <c r="F125" s="31">
        <f>'июнь 2014г. по 6-10'!F124+'июнь 2014г. по 0,4'!F121</f>
        <v>2</v>
      </c>
      <c r="G125" s="31">
        <f>'июнь 2014г. по 6-10'!G124+'июнь 2014г. по 0,4'!G121</f>
        <v>7.5</v>
      </c>
      <c r="H125" s="29">
        <v>0</v>
      </c>
      <c r="I125" s="29">
        <v>0</v>
      </c>
      <c r="J125" s="31">
        <f>'июнь 2014г. по 6-10'!J124+'июнь 2014г. по 0,4'!J121</f>
        <v>0</v>
      </c>
      <c r="K125" s="31">
        <f>'июнь 2014г. по 6-10'!K124+'июнь 2014г. по 0,4'!K121</f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'июнь 2014г. по 6-10'!D125+'июнь 2014г. по 0,4'!D122</f>
        <v>3</v>
      </c>
      <c r="E126" s="31">
        <f>'июнь 2014г. по 6-10'!E125+'июнь 2014г. по 0,4'!E122</f>
        <v>19.8</v>
      </c>
      <c r="F126" s="31">
        <f>'июнь 2014г. по 6-10'!F125+'июнь 2014г. по 0,4'!F122</f>
        <v>3</v>
      </c>
      <c r="G126" s="31">
        <f>'июнь 2014г. по 6-10'!G125+'июнь 2014г. по 0,4'!G122</f>
        <v>19.8</v>
      </c>
      <c r="H126" s="29">
        <v>0</v>
      </c>
      <c r="I126" s="29">
        <v>0</v>
      </c>
      <c r="J126" s="31">
        <f>'июнь 2014г. по 6-10'!J125+'июнь 2014г. по 0,4'!J122</f>
        <v>2</v>
      </c>
      <c r="K126" s="31">
        <f>'июнь 2014г. по 6-10'!K125+'июнь 2014г. по 0,4'!K122</f>
        <v>18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'июнь 2014г. по 6-10'!D126+'июнь 2014г. по 0,4'!D123</f>
        <v>5</v>
      </c>
      <c r="E127" s="31">
        <f>'июнь 2014г. по 6-10'!E126+'июнь 2014г. по 0,4'!E123</f>
        <v>130</v>
      </c>
      <c r="F127" s="31">
        <f>'июнь 2014г. по 6-10'!F126+'июнь 2014г. по 0,4'!F123</f>
        <v>5</v>
      </c>
      <c r="G127" s="31">
        <f>'июнь 2014г. по 6-10'!G126+'июнь 2014г. по 0,4'!G123</f>
        <v>130</v>
      </c>
      <c r="H127" s="29">
        <v>0</v>
      </c>
      <c r="I127" s="29">
        <v>0</v>
      </c>
      <c r="J127" s="31">
        <f>'июнь 2014г. по 6-10'!J126+'июнь 2014г. по 0,4'!J123</f>
        <v>0</v>
      </c>
      <c r="K127" s="31">
        <f>'июнь 2014г. по 6-10'!K126+'июнь 2014г. по 0,4'!K123</f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'июнь 2014г. по 6-10'!D127+'июнь 2014г. по 0,4'!D124</f>
        <v>1</v>
      </c>
      <c r="E128" s="31">
        <f>'июнь 2014г. по 6-10'!E127+'июнь 2014г. по 0,4'!E124</f>
        <v>160</v>
      </c>
      <c r="F128" s="31">
        <f>'июнь 2014г. по 6-10'!F127+'июнь 2014г. по 0,4'!F124</f>
        <v>1</v>
      </c>
      <c r="G128" s="31">
        <f>'июнь 2014г. по 6-10'!G127+'июнь 2014г. по 0,4'!G124</f>
        <v>160</v>
      </c>
      <c r="H128" s="29">
        <v>0</v>
      </c>
      <c r="I128" s="29">
        <v>0</v>
      </c>
      <c r="J128" s="31">
        <f>'июнь 2014г. по 6-10'!J127+'июнь 2014г. по 0,4'!J124</f>
        <v>0</v>
      </c>
      <c r="K128" s="31">
        <f>'июнь 2014г. по 6-10'!K127+'июнь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52</v>
      </c>
      <c r="E129" s="29">
        <f t="shared" ref="E129:Q129" si="9">E117+E118+E119+E120+E121+E122+E123+E124+E125+E126+E127+E128</f>
        <v>3811.0000000000005</v>
      </c>
      <c r="F129" s="29">
        <f t="shared" si="9"/>
        <v>52</v>
      </c>
      <c r="G129" s="29">
        <f t="shared" si="9"/>
        <v>3811.0000000000005</v>
      </c>
      <c r="H129" s="29">
        <f t="shared" si="9"/>
        <v>0</v>
      </c>
      <c r="I129" s="29">
        <f t="shared" si="9"/>
        <v>0</v>
      </c>
      <c r="J129" s="29">
        <f t="shared" si="9"/>
        <v>3</v>
      </c>
      <c r="K129" s="29">
        <f t="shared" si="9"/>
        <v>33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786</v>
      </c>
      <c r="E130" s="36">
        <f t="shared" ref="E130:Q130" si="10">E30+E38+E52+E63+E70+E78+E91+E102+E115+E129</f>
        <v>27167.200000000001</v>
      </c>
      <c r="F130" s="36">
        <f t="shared" si="10"/>
        <v>786</v>
      </c>
      <c r="G130" s="36">
        <f t="shared" si="10"/>
        <v>27167.200000000001</v>
      </c>
      <c r="H130" s="36">
        <f t="shared" si="10"/>
        <v>14</v>
      </c>
      <c r="I130" s="36">
        <f t="shared" si="10"/>
        <v>1147.8</v>
      </c>
      <c r="J130" s="36">
        <f t="shared" si="10"/>
        <v>62</v>
      </c>
      <c r="K130" s="36">
        <f t="shared" si="10"/>
        <v>563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33" t="s">
        <v>11</v>
      </c>
      <c r="C131" s="134"/>
      <c r="D131" s="37">
        <f t="shared" ref="D131" si="11">SUM(D130:D130)</f>
        <v>786</v>
      </c>
      <c r="E131" s="38">
        <f t="shared" ref="E131" si="12">SUM(E130:E130)</f>
        <v>27167.200000000001</v>
      </c>
      <c r="F131" s="37">
        <f t="shared" ref="F131:Q131" si="13">SUM(F130:F130)</f>
        <v>786</v>
      </c>
      <c r="G131" s="38">
        <f t="shared" si="13"/>
        <v>27167.200000000001</v>
      </c>
      <c r="H131" s="37">
        <f t="shared" si="13"/>
        <v>14</v>
      </c>
      <c r="I131" s="38">
        <f t="shared" si="13"/>
        <v>1147.8</v>
      </c>
      <c r="J131" s="37">
        <f t="shared" si="13"/>
        <v>62</v>
      </c>
      <c r="K131" s="38">
        <f t="shared" si="13"/>
        <v>563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17" t="s">
        <v>121</v>
      </c>
      <c r="J136" s="117"/>
      <c r="K136" s="40">
        <v>15</v>
      </c>
    </row>
    <row r="137" spans="1:17" ht="22.5" x14ac:dyDescent="0.2">
      <c r="H137" s="39" t="s">
        <v>122</v>
      </c>
      <c r="I137" s="117" t="s">
        <v>121</v>
      </c>
      <c r="J137" s="117"/>
      <c r="K137" s="40">
        <v>15</v>
      </c>
    </row>
    <row r="138" spans="1:17" ht="22.5" x14ac:dyDescent="0.2">
      <c r="H138" s="39" t="s">
        <v>123</v>
      </c>
      <c r="I138" s="117" t="s">
        <v>124</v>
      </c>
      <c r="J138" s="117"/>
      <c r="K138" s="40">
        <v>5</v>
      </c>
    </row>
    <row r="139" spans="1:17" ht="22.5" x14ac:dyDescent="0.2">
      <c r="H139" s="41" t="s">
        <v>125</v>
      </c>
      <c r="I139" s="135" t="s">
        <v>126</v>
      </c>
      <c r="J139" s="136"/>
      <c r="K139" s="25">
        <v>50</v>
      </c>
    </row>
    <row r="140" spans="1:17" ht="22.5" customHeight="1" x14ac:dyDescent="0.2">
      <c r="H140" s="41" t="s">
        <v>127</v>
      </c>
      <c r="I140" s="135" t="s">
        <v>126</v>
      </c>
      <c r="J140" s="136"/>
      <c r="K140" s="42">
        <v>158</v>
      </c>
    </row>
    <row r="141" spans="1:17" ht="22.5" x14ac:dyDescent="0.2">
      <c r="H141" s="41" t="s">
        <v>128</v>
      </c>
      <c r="I141" s="135" t="s">
        <v>126</v>
      </c>
      <c r="J141" s="136"/>
      <c r="K141" s="27">
        <v>237</v>
      </c>
    </row>
    <row r="142" spans="1:17" ht="22.5" x14ac:dyDescent="0.2">
      <c r="H142" s="41" t="s">
        <v>129</v>
      </c>
      <c r="I142" s="135" t="s">
        <v>126</v>
      </c>
      <c r="J142" s="136"/>
      <c r="K142" s="27">
        <v>300</v>
      </c>
    </row>
    <row r="143" spans="1:17" ht="33.75" customHeight="1" x14ac:dyDescent="0.2">
      <c r="H143" s="41" t="s">
        <v>130</v>
      </c>
      <c r="I143" s="135" t="s">
        <v>131</v>
      </c>
      <c r="J143" s="136"/>
      <c r="K143" s="27">
        <v>300</v>
      </c>
    </row>
    <row r="144" spans="1:17" ht="22.5" x14ac:dyDescent="0.2">
      <c r="H144" s="43" t="s">
        <v>142</v>
      </c>
      <c r="I144" s="137" t="s">
        <v>141</v>
      </c>
      <c r="J144" s="138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15" t="s">
        <v>143</v>
      </c>
      <c r="J148" s="115"/>
      <c r="K148" s="27">
        <v>15</v>
      </c>
    </row>
    <row r="149" spans="8:11" ht="22.5" x14ac:dyDescent="0.2">
      <c r="H149" s="26" t="s">
        <v>145</v>
      </c>
      <c r="I149" s="115" t="s">
        <v>143</v>
      </c>
      <c r="J149" s="115"/>
      <c r="K149" s="27">
        <v>30</v>
      </c>
    </row>
  </sheetData>
  <autoFilter ref="C21:C131"/>
  <customSheetViews>
    <customSheetView guid="{BC21180C-85F6-44E9-8911-8FF77947F378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C116:D116"/>
    <mergeCell ref="B131:C131"/>
    <mergeCell ref="I143:J143"/>
    <mergeCell ref="I144:J144"/>
    <mergeCell ref="I139:J139"/>
    <mergeCell ref="I140:J140"/>
    <mergeCell ref="I141:J141"/>
    <mergeCell ref="I142:J142"/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7"/>
  <sheetViews>
    <sheetView tabSelected="1" workbookViewId="0">
      <selection activeCell="M7" sqref="M7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32"/>
      <c r="J1" s="132"/>
      <c r="K1" s="132"/>
      <c r="L1" s="132"/>
      <c r="M1" s="17"/>
      <c r="N1" s="17"/>
    </row>
    <row r="2" spans="2:15" ht="15.75" x14ac:dyDescent="0.25">
      <c r="B2" t="s">
        <v>0</v>
      </c>
      <c r="I2" s="132"/>
      <c r="J2" s="132"/>
      <c r="K2" s="132"/>
      <c r="L2" s="132"/>
      <c r="M2" s="17"/>
      <c r="N2" s="17"/>
      <c r="O2" s="17"/>
    </row>
    <row r="3" spans="2:15" ht="15.75" x14ac:dyDescent="0.25">
      <c r="I3" s="132"/>
      <c r="J3" s="132"/>
      <c r="K3" s="132"/>
      <c r="L3" s="132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32"/>
      <c r="J5" s="132"/>
      <c r="K5" s="132"/>
      <c r="L5" s="132"/>
      <c r="M5" s="17"/>
      <c r="N5" s="17"/>
      <c r="O5" s="17"/>
    </row>
    <row r="6" spans="2:15" ht="15.75" x14ac:dyDescent="0.25">
      <c r="I6" s="132"/>
      <c r="J6" s="132"/>
      <c r="K6" s="132"/>
      <c r="L6" s="132"/>
      <c r="O6" s="17"/>
    </row>
    <row r="7" spans="2:15" ht="15.75" x14ac:dyDescent="0.25">
      <c r="I7" s="132"/>
      <c r="J7" s="132"/>
      <c r="K7" s="132"/>
      <c r="L7" s="132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</row>
    <row r="11" spans="2:15" ht="15.75" x14ac:dyDescent="0.25"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</row>
    <row r="14" spans="2:15" ht="16.5" thickBot="1" x14ac:dyDescent="0.3">
      <c r="B14" s="127" t="s">
        <v>362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9"/>
    </row>
    <row r="15" spans="2:15" x14ac:dyDescent="0.2"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1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10" t="s">
        <v>17</v>
      </c>
      <c r="E19" s="110"/>
      <c r="F19" s="110" t="s">
        <v>4</v>
      </c>
      <c r="G19" s="110"/>
      <c r="H19" s="125" t="s">
        <v>5</v>
      </c>
      <c r="I19" s="126"/>
      <c r="J19" s="125" t="s">
        <v>6</v>
      </c>
      <c r="K19" s="126"/>
      <c r="L19" s="118" t="s">
        <v>18</v>
      </c>
      <c r="M19" s="119"/>
      <c r="N19" s="118" t="s">
        <v>19</v>
      </c>
      <c r="O19" s="119"/>
      <c r="P19" s="118" t="s">
        <v>20</v>
      </c>
      <c r="Q19" s="119"/>
    </row>
    <row r="20" spans="1:17" ht="13.5" thickTop="1" x14ac:dyDescent="0.2">
      <c r="A20" s="4">
        <v>1</v>
      </c>
      <c r="B20" s="5">
        <v>2</v>
      </c>
      <c r="C20" s="6">
        <v>3</v>
      </c>
      <c r="D20" s="111">
        <v>4</v>
      </c>
      <c r="E20" s="112"/>
      <c r="F20" s="120">
        <v>5</v>
      </c>
      <c r="G20" s="121"/>
      <c r="H20" s="122">
        <v>6</v>
      </c>
      <c r="I20" s="121"/>
      <c r="J20" s="122">
        <v>7</v>
      </c>
      <c r="K20" s="121"/>
      <c r="L20" s="123">
        <v>8</v>
      </c>
      <c r="M20" s="124"/>
      <c r="N20" s="123">
        <v>9</v>
      </c>
      <c r="O20" s="124"/>
      <c r="P20" s="123">
        <v>10</v>
      </c>
      <c r="Q20" s="124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361</v>
      </c>
      <c r="C22" s="143" t="s">
        <v>146</v>
      </c>
      <c r="D22" s="144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'июнь 2014г. по 6-10'!D23+'июнь 2014г. по 0,4'!D20</f>
        <v>0</v>
      </c>
      <c r="E23" s="31">
        <f>'июнь 2014г. по 6-10'!E23+'июнь 2014г. по 0,4'!E20</f>
        <v>0</v>
      </c>
      <c r="F23" s="31">
        <f>'июнь 2014г. по 6-10'!F23+'июнь 2014г. по 0,4'!F20</f>
        <v>0</v>
      </c>
      <c r="G23" s="31">
        <f>'июнь 2014г. по 6-10'!G23+'июнь 2014г. по 0,4'!G20</f>
        <v>0</v>
      </c>
      <c r="H23" s="31">
        <f>'июнь 2014г. по 6-10'!H23+'июнь 2014г. по 0,4'!H20</f>
        <v>0</v>
      </c>
      <c r="I23" s="31">
        <f>'июнь 2014г. по 6-10'!I23+'июнь 2014г. по 0,4'!I20</f>
        <v>0</v>
      </c>
      <c r="J23" s="31">
        <f>'июнь 2014г. по 6-10'!J23+'июнь 2014г. по 0,4'!J20</f>
        <v>0</v>
      </c>
      <c r="K23" s="31">
        <f>'июнь 2014г. по 6-10'!K23+'июнь 2014г. по 0,4'!K20</f>
        <v>0</v>
      </c>
      <c r="L23" s="31">
        <f>'июнь 2014г. по 6-10'!L23+'июнь 2014г. по 0,4'!L20</f>
        <v>0</v>
      </c>
      <c r="M23" s="31">
        <f>'июнь 2014г. по 6-10'!M23+'июнь 2014г. по 0,4'!M20</f>
        <v>0</v>
      </c>
      <c r="N23" s="31">
        <f>'июнь 2014г. по 6-10'!N23+'июнь 2014г. по 0,4'!N20</f>
        <v>0</v>
      </c>
      <c r="O23" s="31">
        <f>'июнь 2014г. по 6-10'!O23+'июнь 2014г. по 0,4'!O20</f>
        <v>0</v>
      </c>
      <c r="P23" s="31">
        <f>'июнь 2014г. по 6-10'!P23+'июнь 2014г. по 0,4'!P20</f>
        <v>0</v>
      </c>
      <c r="Q23" s="31">
        <f>'июнь 2014г. по 6-10'!Q23+'июнь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'июнь 2014г. по 6-10'!D24+'июнь 2014г. по 0,4'!D21</f>
        <v>1</v>
      </c>
      <c r="E24" s="31">
        <f>'июнь 2014г. по 6-10'!E24+'июнь 2014г. по 0,4'!E21</f>
        <v>10</v>
      </c>
      <c r="F24" s="31">
        <f>'июнь 2014г. по 6-10'!F24+'июнь 2014г. по 0,4'!F21</f>
        <v>1</v>
      </c>
      <c r="G24" s="31">
        <f>'июнь 2014г. по 6-10'!G24+'июнь 2014г. по 0,4'!G21</f>
        <v>10</v>
      </c>
      <c r="H24" s="31">
        <f>'июнь 2014г. по 6-10'!H24+'июнь 2014г. по 0,4'!H21</f>
        <v>0</v>
      </c>
      <c r="I24" s="31">
        <f>'июнь 2014г. по 6-10'!I24+'июнь 2014г. по 0,4'!I21</f>
        <v>0</v>
      </c>
      <c r="J24" s="31">
        <f>'июнь 2014г. по 6-10'!J24+'июнь 2014г. по 0,4'!J21</f>
        <v>0</v>
      </c>
      <c r="K24" s="31">
        <f>'июнь 2014г. по 6-10'!K24+'июнь 2014г. по 0,4'!K21</f>
        <v>0</v>
      </c>
      <c r="L24" s="31">
        <f>'июнь 2014г. по 6-10'!L24+'июнь 2014г. по 0,4'!L21</f>
        <v>0</v>
      </c>
      <c r="M24" s="31">
        <f>'июнь 2014г. по 6-10'!M24+'июнь 2014г. по 0,4'!M21</f>
        <v>0</v>
      </c>
      <c r="N24" s="31">
        <f>'июнь 2014г. по 6-10'!N24+'июнь 2014г. по 0,4'!N21</f>
        <v>0</v>
      </c>
      <c r="O24" s="31">
        <f>'июнь 2014г. по 6-10'!O24+'июнь 2014г. по 0,4'!O21</f>
        <v>0</v>
      </c>
      <c r="P24" s="31">
        <f>'июнь 2014г. по 6-10'!P24+'июнь 2014г. по 0,4'!P21</f>
        <v>0</v>
      </c>
      <c r="Q24" s="31">
        <f>'июнь 2014г. по 6-10'!Q24+'июнь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'июнь 2014г. по 6-10'!D25+'июнь 2014г. по 0,4'!D22</f>
        <v>0</v>
      </c>
      <c r="E25" s="31">
        <f>'июнь 2014г. по 6-10'!E25+'июнь 2014г. по 0,4'!E22</f>
        <v>0</v>
      </c>
      <c r="F25" s="31">
        <f>'июнь 2014г. по 6-10'!F25+'июнь 2014г. по 0,4'!F22</f>
        <v>0</v>
      </c>
      <c r="G25" s="31">
        <f>'июнь 2014г. по 6-10'!G25+'июнь 2014г. по 0,4'!G22</f>
        <v>0</v>
      </c>
      <c r="H25" s="31">
        <f>'июнь 2014г. по 6-10'!H25+'июнь 2014г. по 0,4'!H22</f>
        <v>0</v>
      </c>
      <c r="I25" s="31">
        <f>'июнь 2014г. по 6-10'!I25+'июнь 2014г. по 0,4'!I22</f>
        <v>0</v>
      </c>
      <c r="J25" s="31">
        <f>'июнь 2014г. по 6-10'!J25+'июнь 2014г. по 0,4'!J22</f>
        <v>0</v>
      </c>
      <c r="K25" s="31">
        <f>'июнь 2014г. по 6-10'!K25+'июнь 2014г. по 0,4'!K22</f>
        <v>0</v>
      </c>
      <c r="L25" s="31">
        <f>'июнь 2014г. по 6-10'!L25+'июнь 2014г. по 0,4'!L22</f>
        <v>0</v>
      </c>
      <c r="M25" s="31">
        <f>'июнь 2014г. по 6-10'!M25+'июнь 2014г. по 0,4'!M22</f>
        <v>0</v>
      </c>
      <c r="N25" s="31">
        <f>'июнь 2014г. по 6-10'!N25+'июнь 2014г. по 0,4'!N22</f>
        <v>0</v>
      </c>
      <c r="O25" s="31">
        <f>'июнь 2014г. по 6-10'!O25+'июнь 2014г. по 0,4'!O22</f>
        <v>0</v>
      </c>
      <c r="P25" s="31">
        <f>'июнь 2014г. по 6-10'!P25+'июнь 2014г. по 0,4'!P22</f>
        <v>0</v>
      </c>
      <c r="Q25" s="31">
        <f>'июнь 2014г. по 6-10'!Q25+'июнь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'июнь 2014г. по 6-10'!D26+'июнь 2014г. по 0,4'!D23</f>
        <v>3</v>
      </c>
      <c r="E26" s="31">
        <f>'июнь 2014г. по 6-10'!E26+'июнь 2014г. по 0,4'!E23</f>
        <v>380</v>
      </c>
      <c r="F26" s="31">
        <f>'июнь 2014г. по 6-10'!F26+'июнь 2014г. по 0,4'!F23</f>
        <v>3</v>
      </c>
      <c r="G26" s="31">
        <f>'июнь 2014г. по 6-10'!G26+'июнь 2014г. по 0,4'!G23</f>
        <v>380</v>
      </c>
      <c r="H26" s="31">
        <f>'июнь 2014г. по 6-10'!H26+'июнь 2014г. по 0,4'!H23</f>
        <v>0</v>
      </c>
      <c r="I26" s="31">
        <f>'июнь 2014г. по 6-10'!I26+'июнь 2014г. по 0,4'!I23</f>
        <v>0</v>
      </c>
      <c r="J26" s="31">
        <f>'июнь 2014г. по 6-10'!J26+'июнь 2014г. по 0,4'!J23</f>
        <v>0</v>
      </c>
      <c r="K26" s="31">
        <f>'июнь 2014г. по 6-10'!K26+'июнь 2014г. по 0,4'!K23</f>
        <v>0</v>
      </c>
      <c r="L26" s="31">
        <f>'июнь 2014г. по 6-10'!L26+'июнь 2014г. по 0,4'!L23</f>
        <v>0</v>
      </c>
      <c r="M26" s="31">
        <f>'июнь 2014г. по 6-10'!M26+'июнь 2014г. по 0,4'!M23</f>
        <v>0</v>
      </c>
      <c r="N26" s="31">
        <f>'июнь 2014г. по 6-10'!N26+'июнь 2014г. по 0,4'!N23</f>
        <v>0</v>
      </c>
      <c r="O26" s="31">
        <f>'июнь 2014г. по 6-10'!O26+'июнь 2014г. по 0,4'!O23</f>
        <v>0</v>
      </c>
      <c r="P26" s="31">
        <f>'июнь 2014г. по 6-10'!P26+'июнь 2014г. по 0,4'!P23</f>
        <v>0</v>
      </c>
      <c r="Q26" s="31">
        <f>'июнь 2014г. по 6-10'!Q26+'июнь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'июнь 2014г. по 6-10'!D27+'июнь 2014г. по 0,4'!D24</f>
        <v>0</v>
      </c>
      <c r="E27" s="31">
        <f>'июнь 2014г. по 6-10'!E27+'июнь 2014г. по 0,4'!E24</f>
        <v>0</v>
      </c>
      <c r="F27" s="31">
        <f>'июнь 2014г. по 6-10'!F27+'июнь 2014г. по 0,4'!F24</f>
        <v>0</v>
      </c>
      <c r="G27" s="31">
        <f>'июнь 2014г. по 6-10'!G27+'июнь 2014г. по 0,4'!G24</f>
        <v>0</v>
      </c>
      <c r="H27" s="31">
        <f>'июнь 2014г. по 6-10'!H27+'июнь 2014г. по 0,4'!H24</f>
        <v>0</v>
      </c>
      <c r="I27" s="31">
        <f>'июнь 2014г. по 6-10'!I27+'июнь 2014г. по 0,4'!I24</f>
        <v>0</v>
      </c>
      <c r="J27" s="31">
        <f>'июнь 2014г. по 6-10'!J27+'июнь 2014г. по 0,4'!J24</f>
        <v>0</v>
      </c>
      <c r="K27" s="31">
        <f>'июнь 2014г. по 6-10'!K27+'июнь 2014г. по 0,4'!K24</f>
        <v>0</v>
      </c>
      <c r="L27" s="31">
        <f>'июнь 2014г. по 6-10'!L27+'июнь 2014г. по 0,4'!L24</f>
        <v>0</v>
      </c>
      <c r="M27" s="31">
        <f>'июнь 2014г. по 6-10'!M27+'июнь 2014г. по 0,4'!M24</f>
        <v>0</v>
      </c>
      <c r="N27" s="31">
        <f>'июнь 2014г. по 6-10'!N27+'июнь 2014г. по 0,4'!N24</f>
        <v>0</v>
      </c>
      <c r="O27" s="31">
        <f>'июнь 2014г. по 6-10'!O27+'июнь 2014г. по 0,4'!O24</f>
        <v>0</v>
      </c>
      <c r="P27" s="31">
        <f>'июнь 2014г. по 6-10'!P27+'июнь 2014г. по 0,4'!P24</f>
        <v>0</v>
      </c>
      <c r="Q27" s="31">
        <f>'июнь 2014г. по 6-10'!Q27+'июнь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'июнь 2014г. по 6-10'!D28+'июнь 2014г. по 0,4'!D25</f>
        <v>0</v>
      </c>
      <c r="E28" s="31">
        <f>'июнь 2014г. по 6-10'!E28+'июнь 2014г. по 0,4'!E25</f>
        <v>0</v>
      </c>
      <c r="F28" s="31">
        <f>'июнь 2014г. по 6-10'!F28+'июнь 2014г. по 0,4'!F25</f>
        <v>0</v>
      </c>
      <c r="G28" s="31">
        <f>'июнь 2014г. по 6-10'!G28+'июнь 2014г. по 0,4'!G25</f>
        <v>0</v>
      </c>
      <c r="H28" s="31">
        <f>'июнь 2014г. по 6-10'!H28+'июнь 2014г. по 0,4'!H25</f>
        <v>0</v>
      </c>
      <c r="I28" s="31">
        <f>'июнь 2014г. по 6-10'!I28+'июнь 2014г. по 0,4'!I25</f>
        <v>0</v>
      </c>
      <c r="J28" s="31">
        <f>'июнь 2014г. по 6-10'!J28+'июнь 2014г. по 0,4'!J25</f>
        <v>0</v>
      </c>
      <c r="K28" s="31">
        <f>'июнь 2014г. по 6-10'!K28+'июнь 2014г. по 0,4'!K25</f>
        <v>0</v>
      </c>
      <c r="L28" s="31">
        <f>'июнь 2014г. по 6-10'!L28+'июнь 2014г. по 0,4'!L25</f>
        <v>0</v>
      </c>
      <c r="M28" s="31">
        <f>'июнь 2014г. по 6-10'!M28+'июнь 2014г. по 0,4'!M25</f>
        <v>0</v>
      </c>
      <c r="N28" s="31">
        <f>'июнь 2014г. по 6-10'!N28+'июнь 2014г. по 0,4'!N25</f>
        <v>0</v>
      </c>
      <c r="O28" s="31">
        <f>'июнь 2014г. по 6-10'!O28+'июнь 2014г. по 0,4'!O25</f>
        <v>0</v>
      </c>
      <c r="P28" s="31">
        <f>'июнь 2014г. по 6-10'!P28+'июнь 2014г. по 0,4'!P25</f>
        <v>0</v>
      </c>
      <c r="Q28" s="31">
        <f>'июнь 2014г. по 6-10'!Q28+'июнь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'июнь 2014г. по 6-10'!D29+'июнь 2014г. по 0,4'!D26</f>
        <v>0</v>
      </c>
      <c r="E29" s="31">
        <f>'июнь 2014г. по 6-10'!E29+'июнь 2014г. по 0,4'!E26</f>
        <v>0</v>
      </c>
      <c r="F29" s="31">
        <f>'июнь 2014г. по 6-10'!F29+'июнь 2014г. по 0,4'!F26</f>
        <v>0</v>
      </c>
      <c r="G29" s="31">
        <f>'июнь 2014г. по 6-10'!G29+'июнь 2014г. по 0,4'!G26</f>
        <v>0</v>
      </c>
      <c r="H29" s="31">
        <f>'июнь 2014г. по 6-10'!H29+'июнь 2014г. по 0,4'!H26</f>
        <v>0</v>
      </c>
      <c r="I29" s="31">
        <f>'июнь 2014г. по 6-10'!I29+'июнь 2014г. по 0,4'!I26</f>
        <v>0</v>
      </c>
      <c r="J29" s="31">
        <f>'июнь 2014г. по 6-10'!J29+'июнь 2014г. по 0,4'!J26</f>
        <v>0</v>
      </c>
      <c r="K29" s="31">
        <f>'июнь 2014г. по 6-10'!K29+'июнь 2014г. по 0,4'!K26</f>
        <v>0</v>
      </c>
      <c r="L29" s="31">
        <f>'июнь 2014г. по 6-10'!L29+'июнь 2014г. по 0,4'!L26</f>
        <v>0</v>
      </c>
      <c r="M29" s="31">
        <f>'июнь 2014г. по 6-10'!M29+'июнь 2014г. по 0,4'!M26</f>
        <v>0</v>
      </c>
      <c r="N29" s="31">
        <f>'июнь 2014г. по 6-10'!N29+'июнь 2014г. по 0,4'!N26</f>
        <v>0</v>
      </c>
      <c r="O29" s="31">
        <f>'июнь 2014г. по 6-10'!O29+'июнь 2014г. по 0,4'!O26</f>
        <v>0</v>
      </c>
      <c r="P29" s="31">
        <f>'июнь 2014г. по 6-10'!P29+'июнь 2014г. по 0,4'!P26</f>
        <v>0</v>
      </c>
      <c r="Q29" s="31">
        <f>'июнь 2014г. по 6-10'!Q29+'июнь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'июнь 2014г. по 6-10'!D30+'июнь 2014г. по 0,4'!D27</f>
        <v>13</v>
      </c>
      <c r="E30" s="31">
        <f>'июнь 2014г. по 6-10'!E30+'июнь 2014г. по 0,4'!E27</f>
        <v>351.4</v>
      </c>
      <c r="F30" s="31">
        <f>'июнь 2014г. по 6-10'!F30+'июнь 2014г. по 0,4'!F27</f>
        <v>13</v>
      </c>
      <c r="G30" s="31">
        <f>'июнь 2014г. по 6-10'!G30+'июнь 2014г. по 0,4'!G27</f>
        <v>351.4</v>
      </c>
      <c r="H30" s="31">
        <f>'июнь 2014г. по 6-10'!H30+'июнь 2014г. по 0,4'!H27</f>
        <v>0</v>
      </c>
      <c r="I30" s="31">
        <f>'июнь 2014г. по 6-10'!I30+'июнь 2014г. по 0,4'!I27</f>
        <v>0</v>
      </c>
      <c r="J30" s="31">
        <f>'июнь 2014г. по 6-10'!J30+'июнь 2014г. по 0,4'!J27</f>
        <v>1</v>
      </c>
      <c r="K30" s="31">
        <f>'июнь 2014г. по 6-10'!K30+'июнь 2014г. по 0,4'!K27</f>
        <v>10</v>
      </c>
      <c r="L30" s="31">
        <f>'июнь 2014г. по 6-10'!L30+'июнь 2014г. по 0,4'!L27</f>
        <v>0</v>
      </c>
      <c r="M30" s="31">
        <f>'июнь 2014г. по 6-10'!M30+'июнь 2014г. по 0,4'!M27</f>
        <v>0</v>
      </c>
      <c r="N30" s="31">
        <f>'июнь 2014г. по 6-10'!N30+'июнь 2014г. по 0,4'!N27</f>
        <v>0</v>
      </c>
      <c r="O30" s="31">
        <f>'июнь 2014г. по 6-10'!O30+'июнь 2014г. по 0,4'!O27</f>
        <v>0</v>
      </c>
      <c r="P30" s="31">
        <f>'июнь 2014г. по 6-10'!P30+'июнь 2014г. по 0,4'!P27</f>
        <v>0</v>
      </c>
      <c r="Q30" s="31">
        <f>'июнь 2014г. по 6-10'!Q30+'июнь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'июнь 2014г. по 6-10'!D31+'июнь 2014г. по 0,4'!D28</f>
        <v>3</v>
      </c>
      <c r="E31" s="31">
        <f>'июнь 2014г. по 6-10'!E31+'июнь 2014г. по 0,4'!E28</f>
        <v>564</v>
      </c>
      <c r="F31" s="31">
        <f>'июнь 2014г. по 6-10'!F31+'июнь 2014г. по 0,4'!F28</f>
        <v>3</v>
      </c>
      <c r="G31" s="31">
        <f>'июнь 2014г. по 6-10'!G31+'июнь 2014г. по 0,4'!G28</f>
        <v>564</v>
      </c>
      <c r="H31" s="31">
        <f>'июнь 2014г. по 6-10'!H31+'июнь 2014г. по 0,4'!H28</f>
        <v>0</v>
      </c>
      <c r="I31" s="31">
        <f>'июнь 2014г. по 6-10'!I31+'июнь 2014г. по 0,4'!I28</f>
        <v>0</v>
      </c>
      <c r="J31" s="31">
        <f>'июнь 2014г. по 6-10'!J31+'июнь 2014г. по 0,4'!J28</f>
        <v>0</v>
      </c>
      <c r="K31" s="31">
        <f>'июнь 2014г. по 6-10'!K31+'июнь 2014г. по 0,4'!K28</f>
        <v>0</v>
      </c>
      <c r="L31" s="31">
        <f>'июнь 2014г. по 6-10'!L31+'июнь 2014г. по 0,4'!L28</f>
        <v>0</v>
      </c>
      <c r="M31" s="31">
        <f>'июнь 2014г. по 6-10'!M31+'июнь 2014г. по 0,4'!M28</f>
        <v>0</v>
      </c>
      <c r="N31" s="31">
        <f>'июнь 2014г. по 6-10'!N31+'июнь 2014г. по 0,4'!N28</f>
        <v>0</v>
      </c>
      <c r="O31" s="31">
        <f>'июнь 2014г. по 6-10'!O31+'июнь 2014г. по 0,4'!O28</f>
        <v>0</v>
      </c>
      <c r="P31" s="31">
        <f>'июнь 2014г. по 6-10'!P31+'июнь 2014г. по 0,4'!P28</f>
        <v>0</v>
      </c>
      <c r="Q31" s="31">
        <f>'июнь 2014г. по 6-10'!Q31+'июнь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'июнь 2014г. по 6-10'!D32+'июнь 2014г. по 0,4'!D29</f>
        <v>15</v>
      </c>
      <c r="E32" s="31">
        <f>'июнь 2014г. по 6-10'!E32+'июнь 2014г. по 0,4'!E29</f>
        <v>586</v>
      </c>
      <c r="F32" s="31">
        <f>'июнь 2014г. по 6-10'!F32+'июнь 2014г. по 0,4'!F29</f>
        <v>15</v>
      </c>
      <c r="G32" s="31">
        <f>'июнь 2014г. по 6-10'!G32+'июнь 2014г. по 0,4'!G29</f>
        <v>586</v>
      </c>
      <c r="H32" s="31">
        <f>'июнь 2014г. по 6-10'!H32+'июнь 2014г. по 0,4'!H29</f>
        <v>0</v>
      </c>
      <c r="I32" s="31">
        <f>'июнь 2014г. по 6-10'!I32+'июнь 2014г. по 0,4'!I29</f>
        <v>0</v>
      </c>
      <c r="J32" s="31">
        <f>'июнь 2014г. по 6-10'!J32+'июнь 2014г. по 0,4'!J29</f>
        <v>0</v>
      </c>
      <c r="K32" s="31">
        <f>'июнь 2014г. по 6-10'!K32+'июнь 2014г. по 0,4'!K29</f>
        <v>0</v>
      </c>
      <c r="L32" s="31">
        <f>'июнь 2014г. по 6-10'!L32+'июнь 2014г. по 0,4'!L29</f>
        <v>0</v>
      </c>
      <c r="M32" s="31">
        <f>'июнь 2014г. по 6-10'!M32+'июнь 2014г. по 0,4'!M29</f>
        <v>0</v>
      </c>
      <c r="N32" s="31">
        <f>'июнь 2014г. по 6-10'!N32+'июнь 2014г. по 0,4'!N29</f>
        <v>0</v>
      </c>
      <c r="O32" s="31">
        <f>'июнь 2014г. по 6-10'!O32+'июнь 2014г. по 0,4'!O29</f>
        <v>0</v>
      </c>
      <c r="P32" s="31">
        <f>'июнь 2014г. по 6-10'!P32+'июнь 2014г. по 0,4'!P29</f>
        <v>0</v>
      </c>
      <c r="Q32" s="31">
        <f>'июнь 2014г. по 6-10'!Q32+'июнь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'июнь 2014г. по 6-10'!D33+'июнь 2014г. по 0,4'!D30</f>
        <v>7</v>
      </c>
      <c r="E33" s="31">
        <f>'июнь 2014г. по 6-10'!E33+'июнь 2014г. по 0,4'!E30</f>
        <v>153</v>
      </c>
      <c r="F33" s="31">
        <f>'июнь 2014г. по 6-10'!F33+'июнь 2014г. по 0,4'!F30</f>
        <v>7</v>
      </c>
      <c r="G33" s="31">
        <f>'июнь 2014г. по 6-10'!G33+'июнь 2014г. по 0,4'!G30</f>
        <v>153</v>
      </c>
      <c r="H33" s="31">
        <f>'июнь 2014г. по 6-10'!H33+'июнь 2014г. по 0,4'!H30</f>
        <v>0</v>
      </c>
      <c r="I33" s="31">
        <f>'июнь 2014г. по 6-10'!I33+'июнь 2014г. по 0,4'!I30</f>
        <v>0</v>
      </c>
      <c r="J33" s="31">
        <f>'июнь 2014г. по 6-10'!J33+'июнь 2014г. по 0,4'!J30</f>
        <v>0</v>
      </c>
      <c r="K33" s="31">
        <f>'июнь 2014г. по 6-10'!K33+'июнь 2014г. по 0,4'!K30</f>
        <v>0</v>
      </c>
      <c r="L33" s="31">
        <f>'июнь 2014г. по 6-10'!L33+'июнь 2014г. по 0,4'!L30</f>
        <v>0</v>
      </c>
      <c r="M33" s="31">
        <f>'июнь 2014г. по 6-10'!M33+'июнь 2014г. по 0,4'!M30</f>
        <v>0</v>
      </c>
      <c r="N33" s="31">
        <f>'июнь 2014г. по 6-10'!N33+'июнь 2014г. по 0,4'!N30</f>
        <v>0</v>
      </c>
      <c r="O33" s="31">
        <f>'июнь 2014г. по 6-10'!O33+'июнь 2014г. по 0,4'!O30</f>
        <v>0</v>
      </c>
      <c r="P33" s="31">
        <f>'июнь 2014г. по 6-10'!P33+'июнь 2014г. по 0,4'!P30</f>
        <v>0</v>
      </c>
      <c r="Q33" s="31">
        <f>'июнь 2014г. по 6-10'!Q33+'июнь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'июнь 2014г. по 6-10'!D34+'июнь 2014г. по 0,4'!D31</f>
        <v>9</v>
      </c>
      <c r="E34" s="31">
        <f>'июнь 2014г. по 6-10'!E34+'июнь 2014г. по 0,4'!E31</f>
        <v>167</v>
      </c>
      <c r="F34" s="31">
        <f>'июнь 2014г. по 6-10'!F34+'июнь 2014г. по 0,4'!F31</f>
        <v>9</v>
      </c>
      <c r="G34" s="31">
        <f>'июнь 2014г. по 6-10'!G34+'июнь 2014г. по 0,4'!G31</f>
        <v>167</v>
      </c>
      <c r="H34" s="31">
        <f>'июнь 2014г. по 6-10'!H34+'июнь 2014г. по 0,4'!H31</f>
        <v>0</v>
      </c>
      <c r="I34" s="31">
        <f>'июнь 2014г. по 6-10'!I34+'июнь 2014г. по 0,4'!I31</f>
        <v>0</v>
      </c>
      <c r="J34" s="31">
        <f>'июнь 2014г. по 6-10'!J34+'июнь 2014г. по 0,4'!J31</f>
        <v>2</v>
      </c>
      <c r="K34" s="31">
        <f>'июнь 2014г. по 6-10'!K34+'июнь 2014г. по 0,4'!K31</f>
        <v>27</v>
      </c>
      <c r="L34" s="31">
        <f>'июнь 2014г. по 6-10'!L34+'июнь 2014г. по 0,4'!L31</f>
        <v>0</v>
      </c>
      <c r="M34" s="31">
        <f>'июнь 2014г. по 6-10'!M34+'июнь 2014г. по 0,4'!M31</f>
        <v>0</v>
      </c>
      <c r="N34" s="31">
        <f>'июнь 2014г. по 6-10'!N34+'июнь 2014г. по 0,4'!N31</f>
        <v>0</v>
      </c>
      <c r="O34" s="31">
        <f>'июнь 2014г. по 6-10'!O34+'июнь 2014г. по 0,4'!O31</f>
        <v>0</v>
      </c>
      <c r="P34" s="31">
        <f>'июнь 2014г. по 6-10'!P34+'июнь 2014г. по 0,4'!P31</f>
        <v>0</v>
      </c>
      <c r="Q34" s="31">
        <f>'июнь 2014г. по 6-10'!Q34+'июнь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'июнь 2014г. по 6-10'!D35+'июнь 2014г. по 0,4'!D32</f>
        <v>10</v>
      </c>
      <c r="E35" s="31">
        <f>'июнь 2014г. по 6-10'!E35+'июнь 2014г. по 0,4'!E32</f>
        <v>440</v>
      </c>
      <c r="F35" s="31">
        <f>'июнь 2014г. по 6-10'!F35+'июнь 2014г. по 0,4'!F32</f>
        <v>10</v>
      </c>
      <c r="G35" s="31">
        <f>'июнь 2014г. по 6-10'!G35+'июнь 2014г. по 0,4'!G32</f>
        <v>440</v>
      </c>
      <c r="H35" s="31">
        <f>'июнь 2014г. по 6-10'!H35+'июнь 2014г. по 0,4'!H32</f>
        <v>0</v>
      </c>
      <c r="I35" s="31">
        <f>'июнь 2014г. по 6-10'!I35+'июнь 2014г. по 0,4'!I32</f>
        <v>0</v>
      </c>
      <c r="J35" s="31">
        <f>'июнь 2014г. по 6-10'!J35+'июнь 2014г. по 0,4'!J32</f>
        <v>0</v>
      </c>
      <c r="K35" s="31">
        <f>'июнь 2014г. по 6-10'!K35+'июнь 2014г. по 0,4'!K32</f>
        <v>0</v>
      </c>
      <c r="L35" s="31">
        <f>'июнь 2014г. по 6-10'!L35+'июнь 2014г. по 0,4'!L32</f>
        <v>0</v>
      </c>
      <c r="M35" s="31">
        <f>'июнь 2014г. по 6-10'!M35+'июнь 2014г. по 0,4'!M32</f>
        <v>0</v>
      </c>
      <c r="N35" s="31">
        <f>'июнь 2014г. по 6-10'!N35+'июнь 2014г. по 0,4'!N32</f>
        <v>0</v>
      </c>
      <c r="O35" s="31">
        <f>'июнь 2014г. по 6-10'!O35+'июнь 2014г. по 0,4'!O32</f>
        <v>0</v>
      </c>
      <c r="P35" s="31">
        <f>'июнь 2014г. по 6-10'!P35+'июнь 2014г. по 0,4'!P32</f>
        <v>0</v>
      </c>
      <c r="Q35" s="31">
        <f>'июнь 2014г. по 6-10'!Q35+'июнь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'июнь 2014г. по 6-10'!D36+'июнь 2014г. по 0,4'!D33</f>
        <v>37</v>
      </c>
      <c r="E36" s="31">
        <f>'июнь 2014г. по 6-10'!E36+'июнь 2014г. по 0,4'!E33</f>
        <v>1189.5</v>
      </c>
      <c r="F36" s="31">
        <f>'июнь 2014г. по 6-10'!F36+'июнь 2014г. по 0,4'!F33</f>
        <v>37</v>
      </c>
      <c r="G36" s="31">
        <f>'июнь 2014г. по 6-10'!G36+'июнь 2014г. по 0,4'!G33</f>
        <v>1189.5</v>
      </c>
      <c r="H36" s="31">
        <f>'июнь 2014г. по 6-10'!H36+'июнь 2014г. по 0,4'!H33</f>
        <v>0</v>
      </c>
      <c r="I36" s="31">
        <f>'июнь 2014г. по 6-10'!I36+'июнь 2014г. по 0,4'!I33</f>
        <v>0</v>
      </c>
      <c r="J36" s="31">
        <f>'июнь 2014г. по 6-10'!J36+'июнь 2014г. по 0,4'!J33</f>
        <v>6</v>
      </c>
      <c r="K36" s="31">
        <f>'июнь 2014г. по 6-10'!K36+'июнь 2014г. по 0,4'!K33</f>
        <v>47.5</v>
      </c>
      <c r="L36" s="31">
        <f>'июнь 2014г. по 6-10'!L36+'июнь 2014г. по 0,4'!L33</f>
        <v>0</v>
      </c>
      <c r="M36" s="31">
        <f>'июнь 2014г. по 6-10'!M36+'июнь 2014г. по 0,4'!M33</f>
        <v>0</v>
      </c>
      <c r="N36" s="31">
        <f>'июнь 2014г. по 6-10'!N36+'июнь 2014г. по 0,4'!N33</f>
        <v>0</v>
      </c>
      <c r="O36" s="31">
        <f>'июнь 2014г. по 6-10'!O36+'июнь 2014г. по 0,4'!O33</f>
        <v>0</v>
      </c>
      <c r="P36" s="31">
        <f>'июнь 2014г. по 6-10'!P36+'июнь 2014г. по 0,4'!P33</f>
        <v>0</v>
      </c>
      <c r="Q36" s="31">
        <f>'июнь 2014г. по 6-10'!Q36+'июнь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'июнь 2014г. по 6-10'!D37+'июнь 2014г. по 0,4'!D34</f>
        <v>9</v>
      </c>
      <c r="E37" s="31">
        <f>'июнь 2014г. по 6-10'!E37+'июнь 2014г. по 0,4'!E34</f>
        <v>119</v>
      </c>
      <c r="F37" s="31">
        <f>'июнь 2014г. по 6-10'!F37+'июнь 2014г. по 0,4'!F34</f>
        <v>9</v>
      </c>
      <c r="G37" s="31">
        <f>'июнь 2014г. по 6-10'!G37+'июнь 2014г. по 0,4'!G34</f>
        <v>119</v>
      </c>
      <c r="H37" s="31">
        <f>'июнь 2014г. по 6-10'!H37+'июнь 2014г. по 0,4'!H34</f>
        <v>0</v>
      </c>
      <c r="I37" s="31">
        <f>'июнь 2014г. по 6-10'!I37+'июнь 2014г. по 0,4'!I34</f>
        <v>0</v>
      </c>
      <c r="J37" s="31">
        <f>'июнь 2014г. по 6-10'!J37+'июнь 2014г. по 0,4'!J34</f>
        <v>0</v>
      </c>
      <c r="K37" s="31">
        <f>'июнь 2014г. по 6-10'!K37+'июнь 2014г. по 0,4'!K34</f>
        <v>0</v>
      </c>
      <c r="L37" s="31">
        <f>'июнь 2014г. по 6-10'!L37+'июнь 2014г. по 0,4'!L34</f>
        <v>0</v>
      </c>
      <c r="M37" s="31">
        <f>'июнь 2014г. по 6-10'!M37+'июнь 2014г. по 0,4'!M34</f>
        <v>0</v>
      </c>
      <c r="N37" s="31">
        <f>'июнь 2014г. по 6-10'!N37+'июнь 2014г. по 0,4'!N34</f>
        <v>0</v>
      </c>
      <c r="O37" s="31">
        <f>'июнь 2014г. по 6-10'!O37+'июнь 2014г. по 0,4'!O34</f>
        <v>0</v>
      </c>
      <c r="P37" s="31">
        <f>'июнь 2014г. по 6-10'!P37+'июнь 2014г. по 0,4'!P34</f>
        <v>0</v>
      </c>
      <c r="Q37" s="31">
        <f>'июнь 2014г. по 6-10'!Q37+'июнь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'июнь 2014г. по 6-10'!D38+'июнь 2014г. по 0,4'!D35</f>
        <v>8</v>
      </c>
      <c r="E38" s="31">
        <f>'июнь 2014г. по 6-10'!E38+'июнь 2014г. по 0,4'!E35</f>
        <v>216</v>
      </c>
      <c r="F38" s="31">
        <f>'июнь 2014г. по 6-10'!F38+'июнь 2014г. по 0,4'!F35</f>
        <v>8</v>
      </c>
      <c r="G38" s="31">
        <f>'июнь 2014г. по 6-10'!G38+'июнь 2014г. по 0,4'!G35</f>
        <v>216</v>
      </c>
      <c r="H38" s="31">
        <f>'июнь 2014г. по 6-10'!H38+'июнь 2014г. по 0,4'!H35</f>
        <v>0</v>
      </c>
      <c r="I38" s="31">
        <f>'июнь 2014г. по 6-10'!I38+'июнь 2014г. по 0,4'!I35</f>
        <v>0</v>
      </c>
      <c r="J38" s="31">
        <f>'июнь 2014г. по 6-10'!J38+'июнь 2014г. по 0,4'!J35</f>
        <v>0</v>
      </c>
      <c r="K38" s="31">
        <f>'июнь 2014г. по 6-10'!K38+'июнь 2014г. по 0,4'!K35</f>
        <v>0</v>
      </c>
      <c r="L38" s="31">
        <f>'июнь 2014г. по 6-10'!L38+'июнь 2014г. по 0,4'!L35</f>
        <v>0</v>
      </c>
      <c r="M38" s="31">
        <f>'июнь 2014г. по 6-10'!M38+'июнь 2014г. по 0,4'!M35</f>
        <v>0</v>
      </c>
      <c r="N38" s="31">
        <f>'июнь 2014г. по 6-10'!N38+'июнь 2014г. по 0,4'!N35</f>
        <v>0</v>
      </c>
      <c r="O38" s="31">
        <f>'июнь 2014г. по 6-10'!O38+'июнь 2014г. по 0,4'!O35</f>
        <v>0</v>
      </c>
      <c r="P38" s="31">
        <f>'июнь 2014г. по 6-10'!P38+'июнь 2014г. по 0,4'!P35</f>
        <v>0</v>
      </c>
      <c r="Q38" s="31">
        <f>'июнь 2014г. по 6-10'!Q38+'июнь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'июнь 2014г. по 6-10'!D39+'июнь 2014г. по 0,4'!D36</f>
        <v>42</v>
      </c>
      <c r="E39" s="31">
        <f>'июнь 2014г. по 6-10'!E39+'июнь 2014г. по 0,4'!E36</f>
        <v>255.5</v>
      </c>
      <c r="F39" s="31">
        <f>'июнь 2014г. по 6-10'!F39+'июнь 2014г. по 0,4'!F36</f>
        <v>42</v>
      </c>
      <c r="G39" s="31">
        <f>'июнь 2014г. по 6-10'!G39+'июнь 2014г. по 0,4'!G36</f>
        <v>255.5</v>
      </c>
      <c r="H39" s="31">
        <f>'июнь 2014г. по 6-10'!H39+'июнь 2014г. по 0,4'!H36</f>
        <v>0</v>
      </c>
      <c r="I39" s="31">
        <f>'июнь 2014г. по 6-10'!I39+'июнь 2014г. по 0,4'!I36</f>
        <v>0</v>
      </c>
      <c r="J39" s="31">
        <f>'июнь 2014г. по 6-10'!J39+'июнь 2014г. по 0,4'!J36</f>
        <v>0</v>
      </c>
      <c r="K39" s="31">
        <f>'июнь 2014г. по 6-10'!K39+'июнь 2014г. по 0,4'!K36</f>
        <v>0</v>
      </c>
      <c r="L39" s="31">
        <f>'июнь 2014г. по 6-10'!L39+'июнь 2014г. по 0,4'!L36</f>
        <v>0</v>
      </c>
      <c r="M39" s="31">
        <f>'июнь 2014г. по 6-10'!M39+'июнь 2014г. по 0,4'!M36</f>
        <v>0</v>
      </c>
      <c r="N39" s="31">
        <f>'июнь 2014г. по 6-10'!N39+'июнь 2014г. по 0,4'!N36</f>
        <v>0</v>
      </c>
      <c r="O39" s="31">
        <f>'июнь 2014г. по 6-10'!O39+'июнь 2014г. по 0,4'!O36</f>
        <v>0</v>
      </c>
      <c r="P39" s="31">
        <f>'июнь 2014г. по 6-10'!P39+'июнь 2014г. по 0,4'!P36</f>
        <v>0</v>
      </c>
      <c r="Q39" s="31">
        <f>'июнь 2014г. по 6-10'!Q39+'июнь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'июнь 2014г. по 6-10'!D40+'июнь 2014г. по 0,4'!D37</f>
        <v>14</v>
      </c>
      <c r="E40" s="31">
        <f>'июнь 2014г. по 6-10'!E40+'июнь 2014г. по 0,4'!E37</f>
        <v>147.5</v>
      </c>
      <c r="F40" s="31">
        <f>'июнь 2014г. по 6-10'!F40+'июнь 2014г. по 0,4'!F37</f>
        <v>14</v>
      </c>
      <c r="G40" s="31">
        <f>'июнь 2014г. по 6-10'!G40+'июнь 2014г. по 0,4'!G37</f>
        <v>147.5</v>
      </c>
      <c r="H40" s="31">
        <f>'июнь 2014г. по 6-10'!H40+'июнь 2014г. по 0,4'!H37</f>
        <v>0</v>
      </c>
      <c r="I40" s="31">
        <f>'июнь 2014г. по 6-10'!I40+'июнь 2014г. по 0,4'!I37</f>
        <v>0</v>
      </c>
      <c r="J40" s="31">
        <f>'июнь 2014г. по 6-10'!J40+'июнь 2014г. по 0,4'!J37</f>
        <v>1</v>
      </c>
      <c r="K40" s="31">
        <f>'июнь 2014г. по 6-10'!K40+'июнь 2014г. по 0,4'!K37</f>
        <v>10</v>
      </c>
      <c r="L40" s="31">
        <f>'июнь 2014г. по 6-10'!L40+'июнь 2014г. по 0,4'!L37</f>
        <v>0</v>
      </c>
      <c r="M40" s="31">
        <f>'июнь 2014г. по 6-10'!M40+'июнь 2014г. по 0,4'!M37</f>
        <v>0</v>
      </c>
      <c r="N40" s="31">
        <f>'июнь 2014г. по 6-10'!N40+'июнь 2014г. по 0,4'!N37</f>
        <v>0</v>
      </c>
      <c r="O40" s="31">
        <f>'июнь 2014г. по 6-10'!O40+'июнь 2014г. по 0,4'!O37</f>
        <v>0</v>
      </c>
      <c r="P40" s="31">
        <f>'июнь 2014г. по 6-10'!P40+'июнь 2014г. по 0,4'!P37</f>
        <v>0</v>
      </c>
      <c r="Q40" s="31">
        <f>'июнь 2014г. по 6-10'!Q40+'июнь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'июнь 2014г. по 6-10'!D41+'июнь 2014г. по 0,4'!D38</f>
        <v>17</v>
      </c>
      <c r="E41" s="31">
        <f>'июнь 2014г. по 6-10'!E41+'июнь 2014г. по 0,4'!E38</f>
        <v>274.2</v>
      </c>
      <c r="F41" s="31">
        <f>'июнь 2014г. по 6-10'!F41+'июнь 2014г. по 0,4'!F38</f>
        <v>17</v>
      </c>
      <c r="G41" s="31">
        <f>'июнь 2014г. по 6-10'!G41+'июнь 2014г. по 0,4'!G38</f>
        <v>274.2</v>
      </c>
      <c r="H41" s="31">
        <f>'июнь 2014г. по 6-10'!H41+'июнь 2014г. по 0,4'!H38</f>
        <v>0</v>
      </c>
      <c r="I41" s="31">
        <f>'июнь 2014г. по 6-10'!I41+'июнь 2014г. по 0,4'!I38</f>
        <v>0</v>
      </c>
      <c r="J41" s="31">
        <f>'июнь 2014г. по 6-10'!J41+'июнь 2014г. по 0,4'!J38</f>
        <v>2</v>
      </c>
      <c r="K41" s="31">
        <f>'июнь 2014г. по 6-10'!K41+'июнь 2014г. по 0,4'!K38</f>
        <v>13</v>
      </c>
      <c r="L41" s="31">
        <f>'июнь 2014г. по 6-10'!L41+'июнь 2014г. по 0,4'!L38</f>
        <v>0</v>
      </c>
      <c r="M41" s="31">
        <f>'июнь 2014г. по 6-10'!M41+'июнь 2014г. по 0,4'!M38</f>
        <v>0</v>
      </c>
      <c r="N41" s="31">
        <f>'июнь 2014г. по 6-10'!N41+'июнь 2014г. по 0,4'!N38</f>
        <v>0</v>
      </c>
      <c r="O41" s="31">
        <f>'июнь 2014г. по 6-10'!O41+'июнь 2014г. по 0,4'!O38</f>
        <v>0</v>
      </c>
      <c r="P41" s="31">
        <f>'июнь 2014г. по 6-10'!P41+'июнь 2014г. по 0,4'!P38</f>
        <v>0</v>
      </c>
      <c r="Q41" s="31">
        <f>'июнь 2014г. по 6-10'!Q41+'июнь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'июнь 2014г. по 6-10'!D42+'июнь 2014г. по 0,4'!D39</f>
        <v>13</v>
      </c>
      <c r="E42" s="31">
        <f>'июнь 2014г. по 6-10'!E42+'июнь 2014г. по 0,4'!E39</f>
        <v>536</v>
      </c>
      <c r="F42" s="31">
        <f>'июнь 2014г. по 6-10'!F42+'июнь 2014г. по 0,4'!F39</f>
        <v>13</v>
      </c>
      <c r="G42" s="31">
        <f>'июнь 2014г. по 6-10'!G42+'июнь 2014г. по 0,4'!G39</f>
        <v>536</v>
      </c>
      <c r="H42" s="31">
        <f>'июнь 2014г. по 6-10'!H42+'июнь 2014г. по 0,4'!H39</f>
        <v>0</v>
      </c>
      <c r="I42" s="31">
        <f>'июнь 2014г. по 6-10'!I42+'июнь 2014г. по 0,4'!I39</f>
        <v>0</v>
      </c>
      <c r="J42" s="31">
        <f>'июнь 2014г. по 6-10'!J42+'июнь 2014г. по 0,4'!J39</f>
        <v>2</v>
      </c>
      <c r="K42" s="31">
        <f>'июнь 2014г. по 6-10'!K42+'июнь 2014г. по 0,4'!K39</f>
        <v>20</v>
      </c>
      <c r="L42" s="31">
        <f>'июнь 2014г. по 6-10'!L42+'июнь 2014г. по 0,4'!L39</f>
        <v>0</v>
      </c>
      <c r="M42" s="31">
        <f>'июнь 2014г. по 6-10'!M42+'июнь 2014г. по 0,4'!M39</f>
        <v>0</v>
      </c>
      <c r="N42" s="31">
        <f>'июнь 2014г. по 6-10'!N42+'июнь 2014г. по 0,4'!N39</f>
        <v>0</v>
      </c>
      <c r="O42" s="31">
        <f>'июнь 2014г. по 6-10'!O42+'июнь 2014г. по 0,4'!O39</f>
        <v>0</v>
      </c>
      <c r="P42" s="31">
        <f>'июнь 2014г. по 6-10'!P42+'июнь 2014г. по 0,4'!P39</f>
        <v>0</v>
      </c>
      <c r="Q42" s="31">
        <f>'июнь 2014г. по 6-10'!Q42+'июнь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'июнь 2014г. по 6-10'!D43+'июнь 2014г. по 0,4'!D40</f>
        <v>7</v>
      </c>
      <c r="E43" s="31">
        <f>'июнь 2014г. по 6-10'!E43+'июнь 2014г. по 0,4'!E40</f>
        <v>416</v>
      </c>
      <c r="F43" s="31">
        <f>'июнь 2014г. по 6-10'!F43+'июнь 2014г. по 0,4'!F40</f>
        <v>7</v>
      </c>
      <c r="G43" s="31">
        <f>'июнь 2014г. по 6-10'!G43+'июнь 2014г. по 0,4'!G40</f>
        <v>416</v>
      </c>
      <c r="H43" s="31">
        <f>'июнь 2014г. по 6-10'!H43+'июнь 2014г. по 0,4'!H40</f>
        <v>0</v>
      </c>
      <c r="I43" s="31">
        <f>'июнь 2014г. по 6-10'!I43+'июнь 2014г. по 0,4'!I40</f>
        <v>0</v>
      </c>
      <c r="J43" s="31">
        <f>'июнь 2014г. по 6-10'!J43+'июнь 2014г. по 0,4'!J40</f>
        <v>1</v>
      </c>
      <c r="K43" s="31">
        <f>'июнь 2014г. по 6-10'!K43+'июнь 2014г. по 0,4'!K40</f>
        <v>10</v>
      </c>
      <c r="L43" s="31">
        <f>'июнь 2014г. по 6-10'!L43+'июнь 2014г. по 0,4'!L40</f>
        <v>0</v>
      </c>
      <c r="M43" s="31">
        <f>'июнь 2014г. по 6-10'!M43+'июнь 2014г. по 0,4'!M40</f>
        <v>0</v>
      </c>
      <c r="N43" s="31">
        <f>'июнь 2014г. по 6-10'!N43+'июнь 2014г. по 0,4'!N40</f>
        <v>0</v>
      </c>
      <c r="O43" s="31">
        <f>'июнь 2014г. по 6-10'!O43+'июнь 2014г. по 0,4'!O40</f>
        <v>0</v>
      </c>
      <c r="P43" s="31">
        <f>'июнь 2014г. по 6-10'!P43+'июнь 2014г. по 0,4'!P40</f>
        <v>0</v>
      </c>
      <c r="Q43" s="31">
        <f>'июнь 2014г. по 6-10'!Q43+'июнь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'июнь 2014г. по 6-10'!D44+'июнь 2014г. по 0,4'!D41</f>
        <v>0</v>
      </c>
      <c r="E44" s="31">
        <f>'июнь 2014г. по 6-10'!E44+'июнь 2014г. по 0,4'!E41</f>
        <v>0</v>
      </c>
      <c r="F44" s="31">
        <f>'июнь 2014г. по 6-10'!F44+'июнь 2014г. по 0,4'!F41</f>
        <v>0</v>
      </c>
      <c r="G44" s="31">
        <f>'июнь 2014г. по 6-10'!G44+'июнь 2014г. по 0,4'!G41</f>
        <v>0</v>
      </c>
      <c r="H44" s="31">
        <f>'июнь 2014г. по 6-10'!H44+'июнь 2014г. по 0,4'!H41</f>
        <v>0</v>
      </c>
      <c r="I44" s="31">
        <f>'июнь 2014г. по 6-10'!I44+'июнь 2014г. по 0,4'!I41</f>
        <v>0</v>
      </c>
      <c r="J44" s="31">
        <f>'июнь 2014г. по 6-10'!J44+'июнь 2014г. по 0,4'!J41</f>
        <v>0</v>
      </c>
      <c r="K44" s="31">
        <f>'июнь 2014г. по 6-10'!K44+'июнь 2014г. по 0,4'!K41</f>
        <v>0</v>
      </c>
      <c r="L44" s="31">
        <f>'июнь 2014г. по 6-10'!L44+'июнь 2014г. по 0,4'!L41</f>
        <v>0</v>
      </c>
      <c r="M44" s="31">
        <f>'июнь 2014г. по 6-10'!M44+'июнь 2014г. по 0,4'!M41</f>
        <v>0</v>
      </c>
      <c r="N44" s="31">
        <f>'июнь 2014г. по 6-10'!N44+'июнь 2014г. по 0,4'!N41</f>
        <v>0</v>
      </c>
      <c r="O44" s="31">
        <f>'июнь 2014г. по 6-10'!O44+'июнь 2014г. по 0,4'!O41</f>
        <v>0</v>
      </c>
      <c r="P44" s="31">
        <f>'июнь 2014г. по 6-10'!P44+'июнь 2014г. по 0,4'!P41</f>
        <v>0</v>
      </c>
      <c r="Q44" s="31">
        <f>'июнь 2014г. по 6-10'!Q44+'июнь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'июнь 2014г. по 6-10'!D45+'июнь 2014г. по 0,4'!D42</f>
        <v>2</v>
      </c>
      <c r="E45" s="31">
        <f>'июнь 2014г. по 6-10'!E45+'июнь 2014г. по 0,4'!E42</f>
        <v>62</v>
      </c>
      <c r="F45" s="31">
        <f>'июнь 2014г. по 6-10'!F45+'июнь 2014г. по 0,4'!F42</f>
        <v>2</v>
      </c>
      <c r="G45" s="31">
        <f>'июнь 2014г. по 6-10'!G45+'июнь 2014г. по 0,4'!G42</f>
        <v>62</v>
      </c>
      <c r="H45" s="31">
        <f>'июнь 2014г. по 6-10'!H45+'июнь 2014г. по 0,4'!H42</f>
        <v>0</v>
      </c>
      <c r="I45" s="31">
        <f>'июнь 2014г. по 6-10'!I45+'июнь 2014г. по 0,4'!I42</f>
        <v>0</v>
      </c>
      <c r="J45" s="31">
        <f>'июнь 2014г. по 6-10'!J45+'июнь 2014г. по 0,4'!J42</f>
        <v>1</v>
      </c>
      <c r="K45" s="31">
        <f>'июнь 2014г. по 6-10'!K45+'июнь 2014г. по 0,4'!K42</f>
        <v>12</v>
      </c>
      <c r="L45" s="31">
        <f>'июнь 2014г. по 6-10'!L45+'июнь 2014г. по 0,4'!L42</f>
        <v>0</v>
      </c>
      <c r="M45" s="31">
        <f>'июнь 2014г. по 6-10'!M45+'июнь 2014г. по 0,4'!M42</f>
        <v>0</v>
      </c>
      <c r="N45" s="31">
        <f>'июнь 2014г. по 6-10'!N45+'июнь 2014г. по 0,4'!N42</f>
        <v>0</v>
      </c>
      <c r="O45" s="31">
        <f>'июнь 2014г. по 6-10'!O45+'июнь 2014г. по 0,4'!O42</f>
        <v>0</v>
      </c>
      <c r="P45" s="31">
        <f>'июнь 2014г. по 6-10'!P45+'июнь 2014г. по 0,4'!P42</f>
        <v>0</v>
      </c>
      <c r="Q45" s="31">
        <f>'июнь 2014г. по 6-10'!Q45+'июнь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'июнь 2014г. по 6-10'!D46+'июнь 2014г. по 0,4'!D43</f>
        <v>0</v>
      </c>
      <c r="E46" s="31">
        <f>'июнь 2014г. по 6-10'!E46+'июнь 2014г. по 0,4'!E43</f>
        <v>0</v>
      </c>
      <c r="F46" s="31">
        <f>'июнь 2014г. по 6-10'!F46+'июнь 2014г. по 0,4'!F43</f>
        <v>0</v>
      </c>
      <c r="G46" s="31">
        <f>'июнь 2014г. по 6-10'!G46+'июнь 2014г. по 0,4'!G43</f>
        <v>0</v>
      </c>
      <c r="H46" s="31">
        <f>'июнь 2014г. по 6-10'!H46+'июнь 2014г. по 0,4'!H43</f>
        <v>0</v>
      </c>
      <c r="I46" s="31">
        <f>'июнь 2014г. по 6-10'!I46+'июнь 2014г. по 0,4'!I43</f>
        <v>0</v>
      </c>
      <c r="J46" s="31">
        <f>'июнь 2014г. по 6-10'!J46+'июнь 2014г. по 0,4'!J43</f>
        <v>0</v>
      </c>
      <c r="K46" s="31">
        <f>'июнь 2014г. по 6-10'!K46+'июнь 2014г. по 0,4'!K43</f>
        <v>0</v>
      </c>
      <c r="L46" s="31">
        <f>'июнь 2014г. по 6-10'!L46+'июнь 2014г. по 0,4'!L43</f>
        <v>0</v>
      </c>
      <c r="M46" s="31">
        <f>'июнь 2014г. по 6-10'!M46+'июнь 2014г. по 0,4'!M43</f>
        <v>0</v>
      </c>
      <c r="N46" s="31">
        <f>'июнь 2014г. по 6-10'!N46+'июнь 2014г. по 0,4'!N43</f>
        <v>0</v>
      </c>
      <c r="O46" s="31">
        <f>'июнь 2014г. по 6-10'!O46+'июнь 2014г. по 0,4'!O43</f>
        <v>0</v>
      </c>
      <c r="P46" s="31">
        <f>'июнь 2014г. по 6-10'!P46+'июнь 2014г. по 0,4'!P43</f>
        <v>0</v>
      </c>
      <c r="Q46" s="31">
        <f>'июнь 2014г. по 6-10'!Q46+'июнь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'июнь 2014г. по 6-10'!D47+'июнь 2014г. по 0,4'!D44</f>
        <v>0</v>
      </c>
      <c r="E47" s="31">
        <f>'июнь 2014г. по 6-10'!E47+'июнь 2014г. по 0,4'!E44</f>
        <v>0</v>
      </c>
      <c r="F47" s="31">
        <f>'июнь 2014г. по 6-10'!F47+'июнь 2014г. по 0,4'!F44</f>
        <v>0</v>
      </c>
      <c r="G47" s="31">
        <f>'июнь 2014г. по 6-10'!G47+'июнь 2014г. по 0,4'!G44</f>
        <v>0</v>
      </c>
      <c r="H47" s="31">
        <f>'июнь 2014г. по 6-10'!H47+'июнь 2014г. по 0,4'!H44</f>
        <v>0</v>
      </c>
      <c r="I47" s="31">
        <f>'июнь 2014г. по 6-10'!I47+'июнь 2014г. по 0,4'!I44</f>
        <v>0</v>
      </c>
      <c r="J47" s="31">
        <f>'июнь 2014г. по 6-10'!J47+'июнь 2014г. по 0,4'!J44</f>
        <v>0</v>
      </c>
      <c r="K47" s="31">
        <f>'июнь 2014г. по 6-10'!K47+'июнь 2014г. по 0,4'!K44</f>
        <v>0</v>
      </c>
      <c r="L47" s="31">
        <f>'июнь 2014г. по 6-10'!L47+'июнь 2014г. по 0,4'!L44</f>
        <v>0</v>
      </c>
      <c r="M47" s="31">
        <f>'июнь 2014г. по 6-10'!M47+'июнь 2014г. по 0,4'!M44</f>
        <v>0</v>
      </c>
      <c r="N47" s="31">
        <f>'июнь 2014г. по 6-10'!N47+'июнь 2014г. по 0,4'!N44</f>
        <v>0</v>
      </c>
      <c r="O47" s="31">
        <f>'июнь 2014г. по 6-10'!O47+'июнь 2014г. по 0,4'!O44</f>
        <v>0</v>
      </c>
      <c r="P47" s="31">
        <f>'июнь 2014г. по 6-10'!P47+'июнь 2014г. по 0,4'!P44</f>
        <v>0</v>
      </c>
      <c r="Q47" s="31">
        <f>'июнь 2014г. по 6-10'!Q47+'июнь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'июнь 2014г. по 6-10'!D48+'июнь 2014г. по 0,4'!D45</f>
        <v>21</v>
      </c>
      <c r="E48" s="31">
        <f>'июнь 2014г. по 6-10'!E48+'июнь 2014г. по 0,4'!E45</f>
        <v>945</v>
      </c>
      <c r="F48" s="31">
        <f>'июнь 2014г. по 6-10'!F48+'июнь 2014г. по 0,4'!F45</f>
        <v>21</v>
      </c>
      <c r="G48" s="31">
        <f>'июнь 2014г. по 6-10'!G48+'июнь 2014г. по 0,4'!G45</f>
        <v>945</v>
      </c>
      <c r="H48" s="31">
        <f>'июнь 2014г. по 6-10'!H48+'июнь 2014г. по 0,4'!H45</f>
        <v>0</v>
      </c>
      <c r="I48" s="31">
        <f>'июнь 2014г. по 6-10'!I48+'июнь 2014г. по 0,4'!I45</f>
        <v>0</v>
      </c>
      <c r="J48" s="31">
        <f>'июнь 2014г. по 6-10'!J48+'июнь 2014г. по 0,4'!J45</f>
        <v>0</v>
      </c>
      <c r="K48" s="31">
        <f>'июнь 2014г. по 6-10'!K48+'июнь 2014г. по 0,4'!K45</f>
        <v>0</v>
      </c>
      <c r="L48" s="31">
        <f>'июнь 2014г. по 6-10'!L48+'июнь 2014г. по 0,4'!L45</f>
        <v>0</v>
      </c>
      <c r="M48" s="31">
        <f>'июнь 2014г. по 6-10'!M48+'июнь 2014г. по 0,4'!M45</f>
        <v>0</v>
      </c>
      <c r="N48" s="31">
        <f>'июнь 2014г. по 6-10'!N48+'июнь 2014г. по 0,4'!N45</f>
        <v>0</v>
      </c>
      <c r="O48" s="31">
        <f>'июнь 2014г. по 6-10'!O48+'июнь 2014г. по 0,4'!O45</f>
        <v>0</v>
      </c>
      <c r="P48" s="31">
        <f>'июнь 2014г. по 6-10'!P48+'июнь 2014г. по 0,4'!P45</f>
        <v>0</v>
      </c>
      <c r="Q48" s="31">
        <f>'июнь 2014г. по 6-10'!Q48+'июнь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'июнь 2014г. по 6-10'!D49+'июнь 2014г. по 0,4'!D46</f>
        <v>0</v>
      </c>
      <c r="E49" s="31">
        <f>'июнь 2014г. по 6-10'!E49+'июнь 2014г. по 0,4'!E46</f>
        <v>0</v>
      </c>
      <c r="F49" s="31">
        <f>'июнь 2014г. по 6-10'!F49+'июнь 2014г. по 0,4'!F46</f>
        <v>0</v>
      </c>
      <c r="G49" s="31">
        <f>'июнь 2014г. по 6-10'!G49+'июнь 2014г. по 0,4'!G46</f>
        <v>0</v>
      </c>
      <c r="H49" s="31">
        <f>'июнь 2014г. по 6-10'!H49+'июнь 2014г. по 0,4'!H46</f>
        <v>0</v>
      </c>
      <c r="I49" s="31">
        <f>'июнь 2014г. по 6-10'!I49+'июнь 2014г. по 0,4'!I46</f>
        <v>0</v>
      </c>
      <c r="J49" s="31">
        <f>'июнь 2014г. по 6-10'!J49+'июнь 2014г. по 0,4'!J46</f>
        <v>0</v>
      </c>
      <c r="K49" s="31">
        <f>'июнь 2014г. по 6-10'!K49+'июнь 2014г. по 0,4'!K46</f>
        <v>0</v>
      </c>
      <c r="L49" s="31">
        <f>'июнь 2014г. по 6-10'!L49+'июнь 2014г. по 0,4'!L46</f>
        <v>0</v>
      </c>
      <c r="M49" s="31">
        <f>'июнь 2014г. по 6-10'!M49+'июнь 2014г. по 0,4'!M46</f>
        <v>0</v>
      </c>
      <c r="N49" s="31">
        <f>'июнь 2014г. по 6-10'!N49+'июнь 2014г. по 0,4'!N46</f>
        <v>0</v>
      </c>
      <c r="O49" s="31">
        <f>'июнь 2014г. по 6-10'!O49+'июнь 2014г. по 0,4'!O46</f>
        <v>0</v>
      </c>
      <c r="P49" s="31">
        <f>'июнь 2014г. по 6-10'!P49+'июнь 2014г. по 0,4'!P46</f>
        <v>0</v>
      </c>
      <c r="Q49" s="31">
        <f>'июнь 2014г. по 6-10'!Q49+'июнь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'июнь 2014г. по 6-10'!D50+'июнь 2014г. по 0,4'!D47</f>
        <v>3</v>
      </c>
      <c r="E50" s="31">
        <f>'июнь 2014г. по 6-10'!E50+'июнь 2014г. по 0,4'!E47</f>
        <v>183</v>
      </c>
      <c r="F50" s="31">
        <f>'июнь 2014г. по 6-10'!F50+'июнь 2014г. по 0,4'!F47</f>
        <v>3</v>
      </c>
      <c r="G50" s="31">
        <f>'июнь 2014г. по 6-10'!G50+'июнь 2014г. по 0,4'!G47</f>
        <v>183</v>
      </c>
      <c r="H50" s="31">
        <f>'июнь 2014г. по 6-10'!H50+'июнь 2014г. по 0,4'!H47</f>
        <v>0</v>
      </c>
      <c r="I50" s="31">
        <f>'июнь 2014г. по 6-10'!I50+'июнь 2014г. по 0,4'!I47</f>
        <v>0</v>
      </c>
      <c r="J50" s="31">
        <f>'июнь 2014г. по 6-10'!J50+'июнь 2014г. по 0,4'!J47</f>
        <v>0</v>
      </c>
      <c r="K50" s="31">
        <f>'июнь 2014г. по 6-10'!K50+'июнь 2014г. по 0,4'!K47</f>
        <v>0</v>
      </c>
      <c r="L50" s="31">
        <f>'июнь 2014г. по 6-10'!L50+'июнь 2014г. по 0,4'!L47</f>
        <v>0</v>
      </c>
      <c r="M50" s="31">
        <f>'июнь 2014г. по 6-10'!M50+'июнь 2014г. по 0,4'!M47</f>
        <v>0</v>
      </c>
      <c r="N50" s="31">
        <f>'июнь 2014г. по 6-10'!N50+'июнь 2014г. по 0,4'!N47</f>
        <v>0</v>
      </c>
      <c r="O50" s="31">
        <f>'июнь 2014г. по 6-10'!O50+'июнь 2014г. по 0,4'!O47</f>
        <v>0</v>
      </c>
      <c r="P50" s="31">
        <f>'июнь 2014г. по 6-10'!P50+'июнь 2014г. по 0,4'!P47</f>
        <v>0</v>
      </c>
      <c r="Q50" s="31">
        <f>'июнь 2014г. по 6-10'!Q50+'июнь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'июнь 2014г. по 6-10'!D51+'июнь 2014г. по 0,4'!D48</f>
        <v>6</v>
      </c>
      <c r="E51" s="31">
        <f>'июнь 2014г. по 6-10'!E51+'июнь 2014г. по 0,4'!E48</f>
        <v>575</v>
      </c>
      <c r="F51" s="31">
        <f>'июнь 2014г. по 6-10'!F51+'июнь 2014г. по 0,4'!F48</f>
        <v>6</v>
      </c>
      <c r="G51" s="31">
        <f>'июнь 2014г. по 6-10'!G51+'июнь 2014г. по 0,4'!G48</f>
        <v>575</v>
      </c>
      <c r="H51" s="31">
        <f>'июнь 2014г. по 6-10'!H51+'июнь 2014г. по 0,4'!H48</f>
        <v>0</v>
      </c>
      <c r="I51" s="31">
        <f>'июнь 2014г. по 6-10'!I51+'июнь 2014г. по 0,4'!I48</f>
        <v>0</v>
      </c>
      <c r="J51" s="31">
        <f>'июнь 2014г. по 6-10'!J51+'июнь 2014г. по 0,4'!J48</f>
        <v>0</v>
      </c>
      <c r="K51" s="31">
        <f>'июнь 2014г. по 6-10'!K51+'июнь 2014г. по 0,4'!K48</f>
        <v>0</v>
      </c>
      <c r="L51" s="31">
        <f>'июнь 2014г. по 6-10'!L51+'июнь 2014г. по 0,4'!L48</f>
        <v>0</v>
      </c>
      <c r="M51" s="31">
        <f>'июнь 2014г. по 6-10'!M51+'июнь 2014г. по 0,4'!M48</f>
        <v>0</v>
      </c>
      <c r="N51" s="31">
        <f>'июнь 2014г. по 6-10'!N51+'июнь 2014г. по 0,4'!N48</f>
        <v>0</v>
      </c>
      <c r="O51" s="31">
        <f>'июнь 2014г. по 6-10'!O51+'июнь 2014г. по 0,4'!O48</f>
        <v>0</v>
      </c>
      <c r="P51" s="31">
        <f>'июнь 2014г. по 6-10'!P51+'июнь 2014г. по 0,4'!P48</f>
        <v>0</v>
      </c>
      <c r="Q51" s="31">
        <f>'июнь 2014г. по 6-10'!Q51+'июнь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'июнь 2014г. по 6-10'!D52+'июнь 2014г. по 0,4'!D49</f>
        <v>0</v>
      </c>
      <c r="E52" s="31">
        <f>'июнь 2014г. по 6-10'!E52+'июнь 2014г. по 0,4'!E49</f>
        <v>0</v>
      </c>
      <c r="F52" s="31">
        <f>'июнь 2014г. по 6-10'!F52+'июнь 2014г. по 0,4'!F49</f>
        <v>0</v>
      </c>
      <c r="G52" s="31">
        <f>'июнь 2014г. по 6-10'!G52+'июнь 2014г. по 0,4'!G49</f>
        <v>0</v>
      </c>
      <c r="H52" s="31">
        <f>'июнь 2014г. по 6-10'!H52+'июнь 2014г. по 0,4'!H49</f>
        <v>0</v>
      </c>
      <c r="I52" s="31">
        <f>'июнь 2014г. по 6-10'!I52+'июнь 2014г. по 0,4'!I49</f>
        <v>0</v>
      </c>
      <c r="J52" s="31">
        <f>'июнь 2014г. по 6-10'!J52+'июнь 2014г. по 0,4'!J49</f>
        <v>0</v>
      </c>
      <c r="K52" s="31">
        <f>'июнь 2014г. по 6-10'!K52+'июнь 2014г. по 0,4'!K49</f>
        <v>0</v>
      </c>
      <c r="L52" s="31">
        <f>'июнь 2014г. по 6-10'!L52+'июнь 2014г. по 0,4'!L49</f>
        <v>0</v>
      </c>
      <c r="M52" s="31">
        <f>'июнь 2014г. по 6-10'!M52+'июнь 2014г. по 0,4'!M49</f>
        <v>0</v>
      </c>
      <c r="N52" s="31">
        <f>'июнь 2014г. по 6-10'!N52+'июнь 2014г. по 0,4'!N49</f>
        <v>0</v>
      </c>
      <c r="O52" s="31">
        <f>'июнь 2014г. по 6-10'!O52+'июнь 2014г. по 0,4'!O49</f>
        <v>0</v>
      </c>
      <c r="P52" s="31">
        <f>'июнь 2014г. по 6-10'!P52+'июнь 2014г. по 0,4'!P49</f>
        <v>0</v>
      </c>
      <c r="Q52" s="31">
        <f>'июнь 2014г. по 6-10'!Q52+'июнь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'июнь 2014г. по 6-10'!D53+'июнь 2014г. по 0,4'!D50</f>
        <v>0</v>
      </c>
      <c r="E53" s="31">
        <f>'июнь 2014г. по 6-10'!E53+'июнь 2014г. по 0,4'!E50</f>
        <v>0</v>
      </c>
      <c r="F53" s="31">
        <f>'июнь 2014г. по 6-10'!F53+'июнь 2014г. по 0,4'!F50</f>
        <v>0</v>
      </c>
      <c r="G53" s="31">
        <f>'июнь 2014г. по 6-10'!G53+'июнь 2014г. по 0,4'!G50</f>
        <v>0</v>
      </c>
      <c r="H53" s="31">
        <f>'июнь 2014г. по 6-10'!H53+'июнь 2014г. по 0,4'!H50</f>
        <v>0</v>
      </c>
      <c r="I53" s="31">
        <f>'июнь 2014г. по 6-10'!I53+'июнь 2014г. по 0,4'!I50</f>
        <v>0</v>
      </c>
      <c r="J53" s="31">
        <f>'июнь 2014г. по 6-10'!J53+'июнь 2014г. по 0,4'!J50</f>
        <v>0</v>
      </c>
      <c r="K53" s="31">
        <f>'июнь 2014г. по 6-10'!K53+'июнь 2014г. по 0,4'!K50</f>
        <v>0</v>
      </c>
      <c r="L53" s="31">
        <f>'июнь 2014г. по 6-10'!L53+'июнь 2014г. по 0,4'!L50</f>
        <v>0</v>
      </c>
      <c r="M53" s="31">
        <f>'июнь 2014г. по 6-10'!M53+'июнь 2014г. по 0,4'!M50</f>
        <v>0</v>
      </c>
      <c r="N53" s="31">
        <f>'июнь 2014г. по 6-10'!N53+'июнь 2014г. по 0,4'!N50</f>
        <v>0</v>
      </c>
      <c r="O53" s="31">
        <f>'июнь 2014г. по 6-10'!O53+'июнь 2014г. по 0,4'!O50</f>
        <v>0</v>
      </c>
      <c r="P53" s="31">
        <f>'июнь 2014г. по 6-10'!P53+'июнь 2014г. по 0,4'!P50</f>
        <v>0</v>
      </c>
      <c r="Q53" s="31">
        <f>'июнь 2014г. по 6-10'!Q53+'июнь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'июнь 2014г. по 6-10'!D54+'июнь 2014г. по 0,4'!D51</f>
        <v>3</v>
      </c>
      <c r="E54" s="31">
        <f>'июнь 2014г. по 6-10'!E54+'июнь 2014г. по 0,4'!E51</f>
        <v>368</v>
      </c>
      <c r="F54" s="31">
        <f>'июнь 2014г. по 6-10'!F54+'июнь 2014г. по 0,4'!F51</f>
        <v>3</v>
      </c>
      <c r="G54" s="31">
        <f>'июнь 2014г. по 6-10'!G54+'июнь 2014г. по 0,4'!G51</f>
        <v>368</v>
      </c>
      <c r="H54" s="31">
        <f>'июнь 2014г. по 6-10'!H54+'июнь 2014г. по 0,4'!H51</f>
        <v>0</v>
      </c>
      <c r="I54" s="31">
        <f>'июнь 2014г. по 6-10'!I54+'июнь 2014г. по 0,4'!I51</f>
        <v>0</v>
      </c>
      <c r="J54" s="31">
        <f>'июнь 2014г. по 6-10'!J54+'июнь 2014г. по 0,4'!J51</f>
        <v>0</v>
      </c>
      <c r="K54" s="31">
        <f>'июнь 2014г. по 6-10'!K54+'июнь 2014г. по 0,4'!K51</f>
        <v>0</v>
      </c>
      <c r="L54" s="31">
        <f>'июнь 2014г. по 6-10'!L54+'июнь 2014г. по 0,4'!L51</f>
        <v>0</v>
      </c>
      <c r="M54" s="31">
        <f>'июнь 2014г. по 6-10'!M54+'июнь 2014г. по 0,4'!M51</f>
        <v>0</v>
      </c>
      <c r="N54" s="31">
        <f>'июнь 2014г. по 6-10'!N54+'июнь 2014г. по 0,4'!N51</f>
        <v>0</v>
      </c>
      <c r="O54" s="31">
        <f>'июнь 2014г. по 6-10'!O54+'июнь 2014г. по 0,4'!O51</f>
        <v>0</v>
      </c>
      <c r="P54" s="31">
        <f>'июнь 2014г. по 6-10'!P54+'июнь 2014г. по 0,4'!P51</f>
        <v>0</v>
      </c>
      <c r="Q54" s="31">
        <f>'июнь 2014г. по 6-10'!Q54+'июнь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'июнь 2014г. по 6-10'!D55+'июнь 2014г. по 0,4'!D52</f>
        <v>2</v>
      </c>
      <c r="E55" s="31">
        <f>'июнь 2014г. по 6-10'!E55+'июнь 2014г. по 0,4'!E52</f>
        <v>24</v>
      </c>
      <c r="F55" s="31">
        <f>'июнь 2014г. по 6-10'!F55+'июнь 2014г. по 0,4'!F52</f>
        <v>2</v>
      </c>
      <c r="G55" s="31">
        <f>'июнь 2014г. по 6-10'!G55+'июнь 2014г. по 0,4'!G52</f>
        <v>24</v>
      </c>
      <c r="H55" s="31">
        <f>'июнь 2014г. по 6-10'!H55+'июнь 2014г. по 0,4'!H52</f>
        <v>0</v>
      </c>
      <c r="I55" s="31">
        <f>'июнь 2014г. по 6-10'!I55+'июнь 2014г. по 0,4'!I52</f>
        <v>0</v>
      </c>
      <c r="J55" s="31">
        <f>'июнь 2014г. по 6-10'!J55+'июнь 2014г. по 0,4'!J52</f>
        <v>0</v>
      </c>
      <c r="K55" s="31">
        <f>'июнь 2014г. по 6-10'!K55+'июнь 2014г. по 0,4'!K52</f>
        <v>0</v>
      </c>
      <c r="L55" s="31">
        <f>'июнь 2014г. по 6-10'!L55+'июнь 2014г. по 0,4'!L52</f>
        <v>0</v>
      </c>
      <c r="M55" s="31">
        <f>'июнь 2014г. по 6-10'!M55+'июнь 2014г. по 0,4'!M52</f>
        <v>0</v>
      </c>
      <c r="N55" s="31">
        <f>'июнь 2014г. по 6-10'!N55+'июнь 2014г. по 0,4'!N52</f>
        <v>0</v>
      </c>
      <c r="O55" s="31">
        <f>'июнь 2014г. по 6-10'!O55+'июнь 2014г. по 0,4'!O52</f>
        <v>0</v>
      </c>
      <c r="P55" s="31">
        <f>'июнь 2014г. по 6-10'!P55+'июнь 2014г. по 0,4'!P52</f>
        <v>0</v>
      </c>
      <c r="Q55" s="31">
        <f>'июнь 2014г. по 6-10'!Q55+'июнь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'июнь 2014г. по 6-10'!D56+'июнь 2014г. по 0,4'!D53</f>
        <v>2</v>
      </c>
      <c r="E56" s="31">
        <f>'июнь 2014г. по 6-10'!E56+'июнь 2014г. по 0,4'!E53</f>
        <v>25</v>
      </c>
      <c r="F56" s="31">
        <f>'июнь 2014г. по 6-10'!F56+'июнь 2014г. по 0,4'!F53</f>
        <v>2</v>
      </c>
      <c r="G56" s="31">
        <f>'июнь 2014г. по 6-10'!G56+'июнь 2014г. по 0,4'!G53</f>
        <v>25</v>
      </c>
      <c r="H56" s="31">
        <f>'июнь 2014г. по 6-10'!H56+'июнь 2014г. по 0,4'!H53</f>
        <v>0</v>
      </c>
      <c r="I56" s="31">
        <f>'июнь 2014г. по 6-10'!I56+'июнь 2014г. по 0,4'!I53</f>
        <v>0</v>
      </c>
      <c r="J56" s="31">
        <f>'июнь 2014г. по 6-10'!J56+'июнь 2014г. по 0,4'!J53</f>
        <v>1</v>
      </c>
      <c r="K56" s="31">
        <f>'июнь 2014г. по 6-10'!K56+'июнь 2014г. по 0,4'!K53</f>
        <v>10</v>
      </c>
      <c r="L56" s="31">
        <f>'июнь 2014г. по 6-10'!L56+'июнь 2014г. по 0,4'!L53</f>
        <v>0</v>
      </c>
      <c r="M56" s="31">
        <f>'июнь 2014г. по 6-10'!M56+'июнь 2014г. по 0,4'!M53</f>
        <v>0</v>
      </c>
      <c r="N56" s="31">
        <f>'июнь 2014г. по 6-10'!N56+'июнь 2014г. по 0,4'!N53</f>
        <v>0</v>
      </c>
      <c r="O56" s="31">
        <f>'июнь 2014г. по 6-10'!O56+'июнь 2014г. по 0,4'!O53</f>
        <v>0</v>
      </c>
      <c r="P56" s="31">
        <f>'июнь 2014г. по 6-10'!P56+'июнь 2014г. по 0,4'!P53</f>
        <v>0</v>
      </c>
      <c r="Q56" s="31">
        <f>'июнь 2014г. по 6-10'!Q56+'июнь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'июнь 2014г. по 6-10'!D57+'июнь 2014г. по 0,4'!D54</f>
        <v>0</v>
      </c>
      <c r="E57" s="31">
        <f>'июнь 2014г. по 6-10'!E57+'июнь 2014г. по 0,4'!E54</f>
        <v>0</v>
      </c>
      <c r="F57" s="31">
        <f>'июнь 2014г. по 6-10'!F57+'июнь 2014г. по 0,4'!F54</f>
        <v>0</v>
      </c>
      <c r="G57" s="31">
        <f>'июнь 2014г. по 6-10'!G57+'июнь 2014г. по 0,4'!G54</f>
        <v>0</v>
      </c>
      <c r="H57" s="31">
        <f>'июнь 2014г. по 6-10'!H57+'июнь 2014г. по 0,4'!H54</f>
        <v>0</v>
      </c>
      <c r="I57" s="31">
        <f>'июнь 2014г. по 6-10'!I57+'июнь 2014г. по 0,4'!I54</f>
        <v>0</v>
      </c>
      <c r="J57" s="31">
        <f>'июнь 2014г. по 6-10'!J57+'июнь 2014г. по 0,4'!J54</f>
        <v>0</v>
      </c>
      <c r="K57" s="31">
        <f>'июнь 2014г. по 6-10'!K57+'июнь 2014г. по 0,4'!K54</f>
        <v>0</v>
      </c>
      <c r="L57" s="31">
        <f>'июнь 2014г. по 6-10'!L57+'июнь 2014г. по 0,4'!L54</f>
        <v>0</v>
      </c>
      <c r="M57" s="31">
        <f>'июнь 2014г. по 6-10'!M57+'июнь 2014г. по 0,4'!M54</f>
        <v>0</v>
      </c>
      <c r="N57" s="31">
        <f>'июнь 2014г. по 6-10'!N57+'июнь 2014г. по 0,4'!N54</f>
        <v>0</v>
      </c>
      <c r="O57" s="31">
        <f>'июнь 2014г. по 6-10'!O57+'июнь 2014г. по 0,4'!O54</f>
        <v>0</v>
      </c>
      <c r="P57" s="31">
        <f>'июнь 2014г. по 6-10'!P57+'июнь 2014г. по 0,4'!P54</f>
        <v>0</v>
      </c>
      <c r="Q57" s="31">
        <f>'июнь 2014г. по 6-10'!Q57+'июнь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'июнь 2014г. по 6-10'!D58+'июнь 2014г. по 0,4'!D55</f>
        <v>12</v>
      </c>
      <c r="E58" s="31">
        <f>'июнь 2014г. по 6-10'!E58+'июнь 2014г. по 0,4'!E55</f>
        <v>589</v>
      </c>
      <c r="F58" s="31">
        <f>'июнь 2014г. по 6-10'!F58+'июнь 2014г. по 0,4'!F55</f>
        <v>12</v>
      </c>
      <c r="G58" s="31">
        <f>'июнь 2014г. по 6-10'!G58+'июнь 2014г. по 0,4'!G55</f>
        <v>589</v>
      </c>
      <c r="H58" s="31">
        <f>'июнь 2014г. по 6-10'!H58+'июнь 2014г. по 0,4'!H55</f>
        <v>0</v>
      </c>
      <c r="I58" s="31">
        <f>'июнь 2014г. по 6-10'!I58+'июнь 2014г. по 0,4'!I55</f>
        <v>0</v>
      </c>
      <c r="J58" s="31">
        <f>'июнь 2014г. по 6-10'!J58+'июнь 2014г. по 0,4'!J55</f>
        <v>2</v>
      </c>
      <c r="K58" s="31">
        <f>'июнь 2014г. по 6-10'!K58+'июнь 2014г. по 0,4'!K55</f>
        <v>20</v>
      </c>
      <c r="L58" s="31">
        <f>'июнь 2014г. по 6-10'!L58+'июнь 2014г. по 0,4'!L55</f>
        <v>0</v>
      </c>
      <c r="M58" s="31">
        <f>'июнь 2014г. по 6-10'!M58+'июнь 2014г. по 0,4'!M55</f>
        <v>0</v>
      </c>
      <c r="N58" s="31">
        <f>'июнь 2014г. по 6-10'!N58+'июнь 2014г. по 0,4'!N55</f>
        <v>0</v>
      </c>
      <c r="O58" s="31">
        <f>'июнь 2014г. по 6-10'!O58+'июнь 2014г. по 0,4'!O55</f>
        <v>0</v>
      </c>
      <c r="P58" s="31">
        <f>'июнь 2014г. по 6-10'!P58+'июнь 2014г. по 0,4'!P55</f>
        <v>0</v>
      </c>
      <c r="Q58" s="31">
        <f>'июнь 2014г. по 6-10'!Q58+'июнь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'июнь 2014г. по 6-10'!D59+'июнь 2014г. по 0,4'!D56</f>
        <v>2</v>
      </c>
      <c r="E59" s="31">
        <f>'июнь 2014г. по 6-10'!E59+'июнь 2014г. по 0,4'!E56</f>
        <v>10</v>
      </c>
      <c r="F59" s="31">
        <f>'июнь 2014г. по 6-10'!F59+'июнь 2014г. по 0,4'!F56</f>
        <v>2</v>
      </c>
      <c r="G59" s="31">
        <f>'июнь 2014г. по 6-10'!G59+'июнь 2014г. по 0,4'!G56</f>
        <v>10</v>
      </c>
      <c r="H59" s="31">
        <f>'июнь 2014г. по 6-10'!H59+'июнь 2014г. по 0,4'!H56</f>
        <v>0</v>
      </c>
      <c r="I59" s="31">
        <f>'июнь 2014г. по 6-10'!I59+'июнь 2014г. по 0,4'!I56</f>
        <v>0</v>
      </c>
      <c r="J59" s="31">
        <f>'июнь 2014г. по 6-10'!J59+'июнь 2014г. по 0,4'!J56</f>
        <v>1</v>
      </c>
      <c r="K59" s="31">
        <f>'июнь 2014г. по 6-10'!K59+'июнь 2014г. по 0,4'!K56</f>
        <v>5</v>
      </c>
      <c r="L59" s="31">
        <f>'июнь 2014г. по 6-10'!L59+'июнь 2014г. по 0,4'!L56</f>
        <v>0</v>
      </c>
      <c r="M59" s="31">
        <f>'июнь 2014г. по 6-10'!M59+'июнь 2014г. по 0,4'!M56</f>
        <v>0</v>
      </c>
      <c r="N59" s="31">
        <f>'июнь 2014г. по 6-10'!N59+'июнь 2014г. по 0,4'!N56</f>
        <v>0</v>
      </c>
      <c r="O59" s="31">
        <f>'июнь 2014г. по 6-10'!O59+'июнь 2014г. по 0,4'!O56</f>
        <v>0</v>
      </c>
      <c r="P59" s="31">
        <f>'июнь 2014г. по 6-10'!P59+'июнь 2014г. по 0,4'!P56</f>
        <v>0</v>
      </c>
      <c r="Q59" s="31">
        <f>'июнь 2014г. по 6-10'!Q59+'июнь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'июнь 2014г. по 6-10'!D60+'июнь 2014г. по 0,4'!D57</f>
        <v>2</v>
      </c>
      <c r="E60" s="31">
        <f>'июнь 2014г. по 6-10'!E60+'июнь 2014г. по 0,4'!E57</f>
        <v>175</v>
      </c>
      <c r="F60" s="31">
        <f>'июнь 2014г. по 6-10'!F60+'июнь 2014г. по 0,4'!F57</f>
        <v>2</v>
      </c>
      <c r="G60" s="31">
        <f>'июнь 2014г. по 6-10'!G60+'июнь 2014г. по 0,4'!G57</f>
        <v>175</v>
      </c>
      <c r="H60" s="31">
        <f>'июнь 2014г. по 6-10'!H60+'июнь 2014г. по 0,4'!H57</f>
        <v>0</v>
      </c>
      <c r="I60" s="31">
        <f>'июнь 2014г. по 6-10'!I60+'июнь 2014г. по 0,4'!I57</f>
        <v>0</v>
      </c>
      <c r="J60" s="31">
        <f>'июнь 2014г. по 6-10'!J60+'июнь 2014г. по 0,4'!J57</f>
        <v>0</v>
      </c>
      <c r="K60" s="31">
        <f>'июнь 2014г. по 6-10'!K60+'июнь 2014г. по 0,4'!K57</f>
        <v>0</v>
      </c>
      <c r="L60" s="31">
        <f>'июнь 2014г. по 6-10'!L60+'июнь 2014г. по 0,4'!L57</f>
        <v>0</v>
      </c>
      <c r="M60" s="31">
        <f>'июнь 2014г. по 6-10'!M60+'июнь 2014г. по 0,4'!M57</f>
        <v>0</v>
      </c>
      <c r="N60" s="31">
        <f>'июнь 2014г. по 6-10'!N60+'июнь 2014г. по 0,4'!N57</f>
        <v>0</v>
      </c>
      <c r="O60" s="31">
        <f>'июнь 2014г. по 6-10'!O60+'июнь 2014г. по 0,4'!O57</f>
        <v>0</v>
      </c>
      <c r="P60" s="31">
        <f>'июнь 2014г. по 6-10'!P60+'июнь 2014г. по 0,4'!P57</f>
        <v>0</v>
      </c>
      <c r="Q60" s="31">
        <f>'июнь 2014г. по 6-10'!Q60+'июнь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'июнь 2014г. по 6-10'!D61+'июнь 2014г. по 0,4'!D58</f>
        <v>0</v>
      </c>
      <c r="E61" s="31">
        <f>'июнь 2014г. по 6-10'!E61+'июнь 2014г. по 0,4'!E58</f>
        <v>0</v>
      </c>
      <c r="F61" s="31">
        <f>'июнь 2014г. по 6-10'!F61+'июнь 2014г. по 0,4'!F58</f>
        <v>0</v>
      </c>
      <c r="G61" s="31">
        <f>'июнь 2014г. по 6-10'!G61+'июнь 2014г. по 0,4'!G58</f>
        <v>0</v>
      </c>
      <c r="H61" s="31">
        <f>'июнь 2014г. по 6-10'!H61+'июнь 2014г. по 0,4'!H58</f>
        <v>0</v>
      </c>
      <c r="I61" s="31">
        <f>'июнь 2014г. по 6-10'!I61+'июнь 2014г. по 0,4'!I58</f>
        <v>0</v>
      </c>
      <c r="J61" s="31">
        <f>'июнь 2014г. по 6-10'!J61+'июнь 2014г. по 0,4'!J58</f>
        <v>0</v>
      </c>
      <c r="K61" s="31">
        <f>'июнь 2014г. по 6-10'!K61+'июнь 2014г. по 0,4'!K58</f>
        <v>0</v>
      </c>
      <c r="L61" s="31">
        <f>'июнь 2014г. по 6-10'!L61+'июнь 2014г. по 0,4'!L58</f>
        <v>0</v>
      </c>
      <c r="M61" s="31">
        <f>'июнь 2014г. по 6-10'!M61+'июнь 2014г. по 0,4'!M58</f>
        <v>0</v>
      </c>
      <c r="N61" s="31">
        <f>'июнь 2014г. по 6-10'!N61+'июнь 2014г. по 0,4'!N58</f>
        <v>0</v>
      </c>
      <c r="O61" s="31">
        <f>'июнь 2014г. по 6-10'!O61+'июнь 2014г. по 0,4'!O58</f>
        <v>0</v>
      </c>
      <c r="P61" s="31">
        <f>'июнь 2014г. по 6-10'!P61+'июнь 2014г. по 0,4'!P58</f>
        <v>0</v>
      </c>
      <c r="Q61" s="31">
        <f>'июнь 2014г. по 6-10'!Q61+'июнь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'июнь 2014г. по 6-10'!D62+'июнь 2014г. по 0,4'!D59</f>
        <v>0</v>
      </c>
      <c r="E62" s="31">
        <f>'июнь 2014г. по 6-10'!E62+'июнь 2014г. по 0,4'!E59</f>
        <v>0</v>
      </c>
      <c r="F62" s="31">
        <f>'июнь 2014г. по 6-10'!F62+'июнь 2014г. по 0,4'!F59</f>
        <v>0</v>
      </c>
      <c r="G62" s="31">
        <f>'июнь 2014г. по 6-10'!G62+'июнь 2014г. по 0,4'!G59</f>
        <v>0</v>
      </c>
      <c r="H62" s="31">
        <f>'июнь 2014г. по 6-10'!H62+'июнь 2014г. по 0,4'!H59</f>
        <v>0</v>
      </c>
      <c r="I62" s="31">
        <f>'июнь 2014г. по 6-10'!I62+'июнь 2014г. по 0,4'!I59</f>
        <v>0</v>
      </c>
      <c r="J62" s="31">
        <f>'июнь 2014г. по 6-10'!J62+'июнь 2014г. по 0,4'!J59</f>
        <v>0</v>
      </c>
      <c r="K62" s="31">
        <f>'июнь 2014г. по 6-10'!K62+'июнь 2014г. по 0,4'!K59</f>
        <v>0</v>
      </c>
      <c r="L62" s="31">
        <f>'июнь 2014г. по 6-10'!L62+'июнь 2014г. по 0,4'!L59</f>
        <v>0</v>
      </c>
      <c r="M62" s="31">
        <f>'июнь 2014г. по 6-10'!M62+'июнь 2014г. по 0,4'!M59</f>
        <v>0</v>
      </c>
      <c r="N62" s="31">
        <f>'июнь 2014г. по 6-10'!N62+'июнь 2014г. по 0,4'!N59</f>
        <v>0</v>
      </c>
      <c r="O62" s="31">
        <f>'июнь 2014г. по 6-10'!O62+'июнь 2014г. по 0,4'!O59</f>
        <v>0</v>
      </c>
      <c r="P62" s="31">
        <f>'июнь 2014г. по 6-10'!P62+'июнь 2014г. по 0,4'!P59</f>
        <v>0</v>
      </c>
      <c r="Q62" s="31">
        <f>'июнь 2014г. по 6-10'!Q62+'июнь 2014г. по 0,4'!Q59</f>
        <v>0</v>
      </c>
    </row>
    <row r="63" spans="1:17" ht="12.75" customHeight="1" x14ac:dyDescent="0.2">
      <c r="A63" s="18"/>
      <c r="B63" s="18"/>
      <c r="C63" s="18" t="s">
        <v>346</v>
      </c>
      <c r="D63" s="31">
        <f>'июнь 2014г. по 6-10'!D63+'июнь 2014г. по 0,4'!D60</f>
        <v>2</v>
      </c>
      <c r="E63" s="31">
        <f>'июнь 2014г. по 6-10'!E63+'июнь 2014г. по 0,4'!E60</f>
        <v>495</v>
      </c>
      <c r="F63" s="31">
        <f>'июнь 2014г. по 6-10'!F63+'июнь 2014г. по 0,4'!F60</f>
        <v>2</v>
      </c>
      <c r="G63" s="31">
        <f>'июнь 2014г. по 6-10'!G63+'июнь 2014г. по 0,4'!G60</f>
        <v>495</v>
      </c>
      <c r="H63" s="31">
        <f>'июнь 2014г. по 6-10'!H63+'июнь 2014г. по 0,4'!H60</f>
        <v>0</v>
      </c>
      <c r="I63" s="31">
        <f>'июнь 2014г. по 6-10'!I63+'июнь 2014г. по 0,4'!I60</f>
        <v>0</v>
      </c>
      <c r="J63" s="31">
        <f>'июнь 2014г. по 6-10'!J63+'июнь 2014г. по 0,4'!J60</f>
        <v>0</v>
      </c>
      <c r="K63" s="31">
        <f>'июнь 2014г. по 6-10'!K63+'июнь 2014г. по 0,4'!K60</f>
        <v>0</v>
      </c>
      <c r="L63" s="31">
        <f>'июнь 2014г. по 6-10'!L63+'июнь 2014г. по 0,4'!L60</f>
        <v>0</v>
      </c>
      <c r="M63" s="31">
        <f>'июнь 2014г. по 6-10'!M63+'июнь 2014г. по 0,4'!M60</f>
        <v>0</v>
      </c>
      <c r="N63" s="31">
        <f>'июнь 2014г. по 6-10'!N63+'июнь 2014г. по 0,4'!N60</f>
        <v>0</v>
      </c>
      <c r="O63" s="31">
        <f>'июнь 2014г. по 6-10'!O63+'июнь 2014г. по 0,4'!O60</f>
        <v>0</v>
      </c>
      <c r="P63" s="31">
        <f>'июнь 2014г. по 6-10'!P63+'июнь 2014г. по 0,4'!P60</f>
        <v>0</v>
      </c>
      <c r="Q63" s="31">
        <f>'июнь 2014г. по 6-10'!Q63+'июнь 2014г. по 0,4'!Q60</f>
        <v>0</v>
      </c>
    </row>
    <row r="64" spans="1:17" ht="17.25" customHeight="1" x14ac:dyDescent="0.2">
      <c r="A64" s="18"/>
      <c r="B64" s="18"/>
      <c r="C64" s="20" t="s">
        <v>30</v>
      </c>
      <c r="D64" s="85">
        <f t="shared" ref="D64:Q64" si="0">SUM(D23:D63)</f>
        <v>265</v>
      </c>
      <c r="E64" s="85">
        <f t="shared" si="0"/>
        <v>9256.0999999999985</v>
      </c>
      <c r="F64" s="85">
        <f t="shared" si="0"/>
        <v>265</v>
      </c>
      <c r="G64" s="85">
        <f t="shared" si="0"/>
        <v>9256.0999999999985</v>
      </c>
      <c r="H64" s="85">
        <f t="shared" si="0"/>
        <v>0</v>
      </c>
      <c r="I64" s="85">
        <f t="shared" si="0"/>
        <v>0</v>
      </c>
      <c r="J64" s="85">
        <f t="shared" si="0"/>
        <v>20</v>
      </c>
      <c r="K64" s="85">
        <f t="shared" si="0"/>
        <v>184.5</v>
      </c>
      <c r="L64" s="85">
        <f t="shared" si="0"/>
        <v>0</v>
      </c>
      <c r="M64" s="85">
        <f t="shared" si="0"/>
        <v>0</v>
      </c>
      <c r="N64" s="85">
        <f t="shared" si="0"/>
        <v>0</v>
      </c>
      <c r="O64" s="85">
        <f t="shared" si="0"/>
        <v>0</v>
      </c>
      <c r="P64" s="85">
        <f t="shared" si="0"/>
        <v>0</v>
      </c>
      <c r="Q64" s="85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351</v>
      </c>
      <c r="D66" s="31">
        <f>'июнь 2014г. по 6-10'!D66+'июнь 2014г. по 0,4'!D63</f>
        <v>36</v>
      </c>
      <c r="E66" s="31">
        <f>'июнь 2014г. по 6-10'!E66+'июнь 2014г. по 0,4'!E63</f>
        <v>773</v>
      </c>
      <c r="F66" s="31">
        <f>'июнь 2014г. по 6-10'!F66+'июнь 2014г. по 0,4'!F63</f>
        <v>36</v>
      </c>
      <c r="G66" s="31">
        <f>'июнь 2014г. по 6-10'!G66+'июнь 2014г. по 0,4'!G63</f>
        <v>773</v>
      </c>
      <c r="H66" s="31">
        <f>'июнь 2014г. по 6-10'!H66+'июнь 2014г. по 0,4'!H63</f>
        <v>0</v>
      </c>
      <c r="I66" s="31">
        <f>'июнь 2014г. по 6-10'!I66+'июнь 2014г. по 0,4'!I63</f>
        <v>0</v>
      </c>
      <c r="J66" s="31">
        <f>'июнь 2014г. по 6-10'!J66+'июнь 2014г. по 0,4'!J63</f>
        <v>5</v>
      </c>
      <c r="K66" s="31">
        <f>'июнь 2014г. по 6-10'!K66+'июнь 2014г. по 0,4'!K63</f>
        <v>52</v>
      </c>
      <c r="L66" s="31">
        <f>'июнь 2014г. по 6-10'!L66+'июнь 2014г. по 0,4'!L63</f>
        <v>0</v>
      </c>
      <c r="M66" s="31">
        <f>'июнь 2014г. по 6-10'!M66+'июнь 2014г. по 0,4'!M63</f>
        <v>0</v>
      </c>
      <c r="N66" s="31">
        <f>'июнь 2014г. по 6-10'!N66+'июнь 2014г. по 0,4'!N63</f>
        <v>0</v>
      </c>
      <c r="O66" s="31">
        <f>'июнь 2014г. по 6-10'!O66+'июнь 2014г. по 0,4'!O63</f>
        <v>0</v>
      </c>
      <c r="P66" s="31">
        <f>'июнь 2014г. по 6-10'!P66+'июнь 2014г. по 0,4'!P63</f>
        <v>0</v>
      </c>
      <c r="Q66" s="31">
        <f>'июнь 2014г. по 6-10'!Q66+'июнь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'июнь 2014г. по 6-10'!D67+'июнь 2014г. по 0,4'!D64</f>
        <v>34</v>
      </c>
      <c r="E67" s="31">
        <f>'июнь 2014г. по 6-10'!E67+'июнь 2014г. по 0,4'!E64</f>
        <v>636.5</v>
      </c>
      <c r="F67" s="31">
        <f>'июнь 2014г. по 6-10'!F67+'июнь 2014г. по 0,4'!F64</f>
        <v>34</v>
      </c>
      <c r="G67" s="31">
        <f>'июнь 2014г. по 6-10'!G67+'июнь 2014г. по 0,4'!G64</f>
        <v>636.5</v>
      </c>
      <c r="H67" s="31">
        <f>'июнь 2014г. по 6-10'!H67+'июнь 2014г. по 0,4'!H64</f>
        <v>0</v>
      </c>
      <c r="I67" s="31">
        <f>'июнь 2014г. по 6-10'!I67+'июнь 2014г. по 0,4'!I64</f>
        <v>0</v>
      </c>
      <c r="J67" s="31">
        <f>'июнь 2014г. по 6-10'!J67+'июнь 2014г. по 0,4'!J64</f>
        <v>4</v>
      </c>
      <c r="K67" s="31">
        <f>'июнь 2014г. по 6-10'!K67+'июнь 2014г. по 0,4'!K64</f>
        <v>50</v>
      </c>
      <c r="L67" s="31">
        <f>'июнь 2014г. по 6-10'!L67+'июнь 2014г. по 0,4'!L64</f>
        <v>0</v>
      </c>
      <c r="M67" s="31">
        <f>'июнь 2014г. по 6-10'!M67+'июнь 2014г. по 0,4'!M64</f>
        <v>0</v>
      </c>
      <c r="N67" s="31">
        <f>'июнь 2014г. по 6-10'!N67+'июнь 2014г. по 0,4'!N64</f>
        <v>0</v>
      </c>
      <c r="O67" s="31">
        <f>'июнь 2014г. по 6-10'!O67+'июнь 2014г. по 0,4'!O64</f>
        <v>0</v>
      </c>
      <c r="P67" s="31">
        <f>'июнь 2014г. по 6-10'!P67+'июнь 2014г. по 0,4'!P64</f>
        <v>0</v>
      </c>
      <c r="Q67" s="31">
        <f>'июнь 2014г. по 6-10'!Q67+'июнь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'июнь 2014г. по 6-10'!D68+'июнь 2014г. по 0,4'!D65</f>
        <v>8</v>
      </c>
      <c r="E68" s="31">
        <f>'июнь 2014г. по 6-10'!E68+'июнь 2014г. по 0,4'!E65</f>
        <v>619.5</v>
      </c>
      <c r="F68" s="31">
        <f>'июнь 2014г. по 6-10'!F68+'июнь 2014г. по 0,4'!F65</f>
        <v>8</v>
      </c>
      <c r="G68" s="31">
        <f>'июнь 2014г. по 6-10'!G68+'июнь 2014г. по 0,4'!G65</f>
        <v>619.5</v>
      </c>
      <c r="H68" s="31">
        <f>'июнь 2014г. по 6-10'!H68+'июнь 2014г. по 0,4'!H65</f>
        <v>0</v>
      </c>
      <c r="I68" s="31">
        <f>'июнь 2014г. по 6-10'!I68+'июнь 2014г. по 0,4'!I65</f>
        <v>0</v>
      </c>
      <c r="J68" s="31">
        <f>'июнь 2014г. по 6-10'!J68+'июнь 2014г. по 0,4'!J65</f>
        <v>2</v>
      </c>
      <c r="K68" s="31">
        <f>'июнь 2014г. по 6-10'!K68+'июнь 2014г. по 0,4'!K65</f>
        <v>10</v>
      </c>
      <c r="L68" s="31">
        <f>'июнь 2014г. по 6-10'!L68+'июнь 2014г. по 0,4'!L65</f>
        <v>0</v>
      </c>
      <c r="M68" s="31">
        <f>'июнь 2014г. по 6-10'!M68+'июнь 2014г. по 0,4'!M65</f>
        <v>0</v>
      </c>
      <c r="N68" s="31">
        <f>'июнь 2014г. по 6-10'!N68+'июнь 2014г. по 0,4'!N65</f>
        <v>0</v>
      </c>
      <c r="O68" s="31">
        <f>'июнь 2014г. по 6-10'!O68+'июнь 2014г. по 0,4'!O65</f>
        <v>0</v>
      </c>
      <c r="P68" s="31">
        <f>'июнь 2014г. по 6-10'!P68+'июнь 2014г. по 0,4'!P65</f>
        <v>0</v>
      </c>
      <c r="Q68" s="31">
        <f>'июнь 2014г. по 6-10'!Q68+'июнь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'июнь 2014г. по 6-10'!D69+'июнь 2014г. по 0,4'!D66</f>
        <v>1</v>
      </c>
      <c r="E69" s="31">
        <f>'июнь 2014г. по 6-10'!E69+'июнь 2014г. по 0,4'!E66</f>
        <v>15</v>
      </c>
      <c r="F69" s="31">
        <f>'июнь 2014г. по 6-10'!F69+'июнь 2014г. по 0,4'!F66</f>
        <v>1</v>
      </c>
      <c r="G69" s="31">
        <f>'июнь 2014г. по 6-10'!G69+'июнь 2014г. по 0,4'!G66</f>
        <v>15</v>
      </c>
      <c r="H69" s="31">
        <f>'июнь 2014г. по 6-10'!H69+'июнь 2014г. по 0,4'!H66</f>
        <v>0</v>
      </c>
      <c r="I69" s="31">
        <f>'июнь 2014г. по 6-10'!I69+'июнь 2014г. по 0,4'!I66</f>
        <v>0</v>
      </c>
      <c r="J69" s="31">
        <f>'июнь 2014г. по 6-10'!J69+'июнь 2014г. по 0,4'!J66</f>
        <v>0</v>
      </c>
      <c r="K69" s="31">
        <f>'июнь 2014г. по 6-10'!K69+'июнь 2014г. по 0,4'!K66</f>
        <v>0</v>
      </c>
      <c r="L69" s="31">
        <f>'июнь 2014г. по 6-10'!L69+'июнь 2014г. по 0,4'!L66</f>
        <v>0</v>
      </c>
      <c r="M69" s="31">
        <f>'июнь 2014г. по 6-10'!M69+'июнь 2014г. по 0,4'!M66</f>
        <v>0</v>
      </c>
      <c r="N69" s="31">
        <f>'июнь 2014г. по 6-10'!N69+'июнь 2014г. по 0,4'!N66</f>
        <v>0</v>
      </c>
      <c r="O69" s="31">
        <f>'июнь 2014г. по 6-10'!O69+'июнь 2014г. по 0,4'!O66</f>
        <v>0</v>
      </c>
      <c r="P69" s="31">
        <f>'июнь 2014г. по 6-10'!P69+'июнь 2014г. по 0,4'!P66</f>
        <v>0</v>
      </c>
      <c r="Q69" s="31">
        <f>'июнь 2014г. по 6-10'!Q69+'июнь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'июнь 2014г. по 6-10'!D70+'июнь 2014г. по 0,4'!D67</f>
        <v>8</v>
      </c>
      <c r="E70" s="31">
        <f>'июнь 2014г. по 6-10'!E70+'июнь 2014г. по 0,4'!E67</f>
        <v>106</v>
      </c>
      <c r="F70" s="31">
        <f>'июнь 2014г. по 6-10'!F70+'июнь 2014г. по 0,4'!F67</f>
        <v>8</v>
      </c>
      <c r="G70" s="31">
        <f>'июнь 2014г. по 6-10'!G70+'июнь 2014г. по 0,4'!G67</f>
        <v>106</v>
      </c>
      <c r="H70" s="31">
        <f>'июнь 2014г. по 6-10'!H70+'июнь 2014г. по 0,4'!H67</f>
        <v>0</v>
      </c>
      <c r="I70" s="31">
        <f>'июнь 2014г. по 6-10'!I70+'июнь 2014г. по 0,4'!I67</f>
        <v>0</v>
      </c>
      <c r="J70" s="31">
        <f>'июнь 2014г. по 6-10'!J70+'июнь 2014г. по 0,4'!J67</f>
        <v>0</v>
      </c>
      <c r="K70" s="31">
        <f>'июнь 2014г. по 6-10'!K70+'июнь 2014г. по 0,4'!K67</f>
        <v>0</v>
      </c>
      <c r="L70" s="31">
        <f>'июнь 2014г. по 6-10'!L70+'июнь 2014г. по 0,4'!L67</f>
        <v>0</v>
      </c>
      <c r="M70" s="31">
        <f>'июнь 2014г. по 6-10'!M70+'июнь 2014г. по 0,4'!M67</f>
        <v>0</v>
      </c>
      <c r="N70" s="31">
        <f>'июнь 2014г. по 6-10'!N70+'июнь 2014г. по 0,4'!N67</f>
        <v>0</v>
      </c>
      <c r="O70" s="31">
        <f>'июнь 2014г. по 6-10'!O70+'июнь 2014г. по 0,4'!O67</f>
        <v>0</v>
      </c>
      <c r="P70" s="31">
        <f>'июнь 2014г. по 6-10'!P70+'июнь 2014г. по 0,4'!P67</f>
        <v>0</v>
      </c>
      <c r="Q70" s="31">
        <f>'июнь 2014г. по 6-10'!Q70+'июнь 2014г. по 0,4'!Q67</f>
        <v>0</v>
      </c>
    </row>
    <row r="71" spans="1:17" ht="12.75" customHeight="1" x14ac:dyDescent="0.2">
      <c r="A71" s="18"/>
      <c r="B71" s="53"/>
      <c r="C71" s="18" t="s">
        <v>352</v>
      </c>
      <c r="D71" s="31">
        <f>'июнь 2014г. по 6-10'!D71+'июнь 2014г. по 0,4'!D68</f>
        <v>1</v>
      </c>
      <c r="E71" s="31">
        <f>'июнь 2014г. по 6-10'!E71+'июнь 2014г. по 0,4'!E68</f>
        <v>10</v>
      </c>
      <c r="F71" s="31">
        <f>'июнь 2014г. по 6-10'!F71+'июнь 2014г. по 0,4'!F68</f>
        <v>1</v>
      </c>
      <c r="G71" s="31">
        <f>'июнь 2014г. по 6-10'!G71+'июнь 2014г. по 0,4'!G68</f>
        <v>10</v>
      </c>
      <c r="H71" s="31">
        <f>'июнь 2014г. по 6-10'!H71+'июнь 2014г. по 0,4'!H68</f>
        <v>0</v>
      </c>
      <c r="I71" s="31">
        <f>'июнь 2014г. по 6-10'!I71+'июнь 2014г. по 0,4'!I68</f>
        <v>0</v>
      </c>
      <c r="J71" s="31">
        <f>'июнь 2014г. по 6-10'!J71+'июнь 2014г. по 0,4'!J68</f>
        <v>0</v>
      </c>
      <c r="K71" s="31">
        <f>'июнь 2014г. по 6-10'!K71+'июнь 2014г. по 0,4'!K68</f>
        <v>0</v>
      </c>
      <c r="L71" s="31">
        <f>'июнь 2014г. по 6-10'!L71+'июнь 2014г. по 0,4'!L68</f>
        <v>0</v>
      </c>
      <c r="M71" s="31">
        <f>'июнь 2014г. по 6-10'!M71+'июнь 2014г. по 0,4'!M68</f>
        <v>0</v>
      </c>
      <c r="N71" s="31">
        <f>'июнь 2014г. по 6-10'!N71+'июнь 2014г. по 0,4'!N68</f>
        <v>0</v>
      </c>
      <c r="O71" s="31">
        <f>'июнь 2014г. по 6-10'!O71+'июнь 2014г. по 0,4'!O68</f>
        <v>0</v>
      </c>
      <c r="P71" s="31">
        <f>'июнь 2014г. по 6-10'!P71+'июнь 2014г. по 0,4'!P68</f>
        <v>0</v>
      </c>
      <c r="Q71" s="31">
        <f>'июнь 2014г. по 6-10'!Q71+'июнь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'июнь 2014г. по 6-10'!D72+'июнь 2014г. по 0,4'!D69</f>
        <v>4</v>
      </c>
      <c r="E72" s="31">
        <f>'июнь 2014г. по 6-10'!E72+'июнь 2014г. по 0,4'!E69</f>
        <v>32.5</v>
      </c>
      <c r="F72" s="31">
        <f>'июнь 2014г. по 6-10'!F72+'июнь 2014г. по 0,4'!F69</f>
        <v>4</v>
      </c>
      <c r="G72" s="31">
        <f>'июнь 2014г. по 6-10'!G72+'июнь 2014г. по 0,4'!G69</f>
        <v>32.5</v>
      </c>
      <c r="H72" s="31">
        <f>'июнь 2014г. по 6-10'!H72+'июнь 2014г. по 0,4'!H69</f>
        <v>0</v>
      </c>
      <c r="I72" s="31">
        <f>'июнь 2014г. по 6-10'!I72+'июнь 2014г. по 0,4'!I69</f>
        <v>0</v>
      </c>
      <c r="J72" s="31">
        <f>'июнь 2014г. по 6-10'!J72+'июнь 2014г. по 0,4'!J69</f>
        <v>0</v>
      </c>
      <c r="K72" s="31">
        <f>'июнь 2014г. по 6-10'!K72+'июнь 2014г. по 0,4'!K69</f>
        <v>0</v>
      </c>
      <c r="L72" s="31">
        <f>'июнь 2014г. по 6-10'!L72+'июнь 2014г. по 0,4'!L69</f>
        <v>0</v>
      </c>
      <c r="M72" s="31">
        <f>'июнь 2014г. по 6-10'!M72+'июнь 2014г. по 0,4'!M69</f>
        <v>0</v>
      </c>
      <c r="N72" s="31">
        <f>'июнь 2014г. по 6-10'!N72+'июнь 2014г. по 0,4'!N69</f>
        <v>0</v>
      </c>
      <c r="O72" s="31">
        <f>'июнь 2014г. по 6-10'!O72+'июнь 2014г. по 0,4'!O69</f>
        <v>0</v>
      </c>
      <c r="P72" s="31">
        <f>'июнь 2014г. по 6-10'!P72+'июнь 2014г. по 0,4'!P69</f>
        <v>0</v>
      </c>
      <c r="Q72" s="31">
        <f>'июнь 2014г. по 6-10'!Q72+'июнь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'июнь 2014г. по 6-10'!D73+'июнь 2014г. по 0,4'!D70</f>
        <v>0</v>
      </c>
      <c r="E73" s="31">
        <f>'июнь 2014г. по 6-10'!E73+'июнь 2014г. по 0,4'!E70</f>
        <v>0</v>
      </c>
      <c r="F73" s="31">
        <f>'июнь 2014г. по 6-10'!F73+'июнь 2014г. по 0,4'!F70</f>
        <v>0</v>
      </c>
      <c r="G73" s="31">
        <f>'июнь 2014г. по 6-10'!G73+'июнь 2014г. по 0,4'!G70</f>
        <v>0</v>
      </c>
      <c r="H73" s="31">
        <f>'июнь 2014г. по 6-10'!H73+'июнь 2014г. по 0,4'!H70</f>
        <v>0</v>
      </c>
      <c r="I73" s="31">
        <f>'июнь 2014г. по 6-10'!I73+'июнь 2014г. по 0,4'!I70</f>
        <v>0</v>
      </c>
      <c r="J73" s="31">
        <f>'июнь 2014г. по 6-10'!J73+'июнь 2014г. по 0,4'!J70</f>
        <v>0</v>
      </c>
      <c r="K73" s="31">
        <f>'июнь 2014г. по 6-10'!K73+'июнь 2014г. по 0,4'!K70</f>
        <v>0</v>
      </c>
      <c r="L73" s="31">
        <f>'июнь 2014г. по 6-10'!L73+'июнь 2014г. по 0,4'!L70</f>
        <v>0</v>
      </c>
      <c r="M73" s="31">
        <f>'июнь 2014г. по 6-10'!M73+'июнь 2014г. по 0,4'!M70</f>
        <v>0</v>
      </c>
      <c r="N73" s="31">
        <f>'июнь 2014г. по 6-10'!N73+'июнь 2014г. по 0,4'!N70</f>
        <v>0</v>
      </c>
      <c r="O73" s="31">
        <f>'июнь 2014г. по 6-10'!O73+'июнь 2014г. по 0,4'!O70</f>
        <v>0</v>
      </c>
      <c r="P73" s="31">
        <f>'июнь 2014г. по 6-10'!P73+'июнь 2014г. по 0,4'!P70</f>
        <v>0</v>
      </c>
      <c r="Q73" s="31">
        <f>'июнь 2014г. по 6-10'!Q73+'июнь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'июнь 2014г. по 6-10'!D74+'июнь 2014г. по 0,4'!D71</f>
        <v>4</v>
      </c>
      <c r="E74" s="31">
        <f>'июнь 2014г. по 6-10'!E74+'июнь 2014г. по 0,4'!E71</f>
        <v>40</v>
      </c>
      <c r="F74" s="31">
        <f>'июнь 2014г. по 6-10'!F74+'июнь 2014г. по 0,4'!F71</f>
        <v>4</v>
      </c>
      <c r="G74" s="31">
        <f>'июнь 2014г. по 6-10'!G74+'июнь 2014г. по 0,4'!G71</f>
        <v>40</v>
      </c>
      <c r="H74" s="31">
        <f>'июнь 2014г. по 6-10'!H74+'июнь 2014г. по 0,4'!H71</f>
        <v>0</v>
      </c>
      <c r="I74" s="31">
        <f>'июнь 2014г. по 6-10'!I74+'июнь 2014г. по 0,4'!I71</f>
        <v>0</v>
      </c>
      <c r="J74" s="31">
        <f>'июнь 2014г. по 6-10'!J74+'июнь 2014г. по 0,4'!J71</f>
        <v>0</v>
      </c>
      <c r="K74" s="31">
        <f>'июнь 2014г. по 6-10'!K74+'июнь 2014г. по 0,4'!K71</f>
        <v>0</v>
      </c>
      <c r="L74" s="31">
        <f>'июнь 2014г. по 6-10'!L74+'июнь 2014г. по 0,4'!L71</f>
        <v>0</v>
      </c>
      <c r="M74" s="31">
        <f>'июнь 2014г. по 6-10'!M74+'июнь 2014г. по 0,4'!M71</f>
        <v>0</v>
      </c>
      <c r="N74" s="31">
        <f>'июнь 2014г. по 6-10'!N74+'июнь 2014г. по 0,4'!N71</f>
        <v>0</v>
      </c>
      <c r="O74" s="31">
        <f>'июнь 2014г. по 6-10'!O74+'июнь 2014г. по 0,4'!O71</f>
        <v>0</v>
      </c>
      <c r="P74" s="31">
        <f>'июнь 2014г. по 6-10'!P74+'июнь 2014г. по 0,4'!P71</f>
        <v>0</v>
      </c>
      <c r="Q74" s="31">
        <f>'июнь 2014г. по 6-10'!Q74+'июнь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'июнь 2014г. по 6-10'!D75+'июнь 2014г. по 0,4'!D72</f>
        <v>1</v>
      </c>
      <c r="E75" s="31">
        <f>'июнь 2014г. по 6-10'!E75+'июнь 2014г. по 0,4'!E72</f>
        <v>6</v>
      </c>
      <c r="F75" s="31">
        <f>'июнь 2014г. по 6-10'!F75+'июнь 2014г. по 0,4'!F72</f>
        <v>1</v>
      </c>
      <c r="G75" s="31">
        <f>'июнь 2014г. по 6-10'!G75+'июнь 2014г. по 0,4'!G72</f>
        <v>6</v>
      </c>
      <c r="H75" s="31">
        <f>'июнь 2014г. по 6-10'!H75+'июнь 2014г. по 0,4'!H72</f>
        <v>0</v>
      </c>
      <c r="I75" s="31">
        <f>'июнь 2014г. по 6-10'!I75+'июнь 2014г. по 0,4'!I72</f>
        <v>0</v>
      </c>
      <c r="J75" s="31">
        <f>'июнь 2014г. по 6-10'!J75+'июнь 2014г. по 0,4'!J72</f>
        <v>0</v>
      </c>
      <c r="K75" s="31">
        <f>'июнь 2014г. по 6-10'!K75+'июнь 2014г. по 0,4'!K72</f>
        <v>0</v>
      </c>
      <c r="L75" s="31">
        <f>'июнь 2014г. по 6-10'!L75+'июнь 2014г. по 0,4'!L72</f>
        <v>0</v>
      </c>
      <c r="M75" s="31">
        <f>'июнь 2014г. по 6-10'!M75+'июнь 2014г. по 0,4'!M72</f>
        <v>0</v>
      </c>
      <c r="N75" s="31">
        <f>'июнь 2014г. по 6-10'!N75+'июнь 2014г. по 0,4'!N72</f>
        <v>0</v>
      </c>
      <c r="O75" s="31">
        <f>'июнь 2014г. по 6-10'!O75+'июнь 2014г. по 0,4'!O72</f>
        <v>0</v>
      </c>
      <c r="P75" s="31">
        <f>'июнь 2014г. по 6-10'!P75+'июнь 2014г. по 0,4'!P72</f>
        <v>0</v>
      </c>
      <c r="Q75" s="31">
        <f>'июнь 2014г. по 6-10'!Q75+'июнь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'июнь 2014г. по 6-10'!D76+'июнь 2014г. по 0,4'!D73</f>
        <v>0</v>
      </c>
      <c r="E76" s="31">
        <f>'июнь 2014г. по 6-10'!E76+'июнь 2014г. по 0,4'!E73</f>
        <v>0</v>
      </c>
      <c r="F76" s="31">
        <f>'июнь 2014г. по 6-10'!F76+'июнь 2014г. по 0,4'!F73</f>
        <v>0</v>
      </c>
      <c r="G76" s="31">
        <f>'июнь 2014г. по 6-10'!G76+'июнь 2014г. по 0,4'!G73</f>
        <v>0</v>
      </c>
      <c r="H76" s="31">
        <f>'июнь 2014г. по 6-10'!H76+'июнь 2014г. по 0,4'!H73</f>
        <v>0</v>
      </c>
      <c r="I76" s="31">
        <f>'июнь 2014г. по 6-10'!I76+'июнь 2014г. по 0,4'!I73</f>
        <v>0</v>
      </c>
      <c r="J76" s="31">
        <f>'июнь 2014г. по 6-10'!J76+'июнь 2014г. по 0,4'!J73</f>
        <v>0</v>
      </c>
      <c r="K76" s="31">
        <f>'июнь 2014г. по 6-10'!K76+'июнь 2014г. по 0,4'!K73</f>
        <v>0</v>
      </c>
      <c r="L76" s="31">
        <f>'июнь 2014г. по 6-10'!L76+'июнь 2014г. по 0,4'!L73</f>
        <v>0</v>
      </c>
      <c r="M76" s="31">
        <f>'июнь 2014г. по 6-10'!M76+'июнь 2014г. по 0,4'!M73</f>
        <v>0</v>
      </c>
      <c r="N76" s="31">
        <f>'июнь 2014г. по 6-10'!N76+'июнь 2014г. по 0,4'!N73</f>
        <v>0</v>
      </c>
      <c r="O76" s="31">
        <f>'июнь 2014г. по 6-10'!O76+'июнь 2014г. по 0,4'!O73</f>
        <v>0</v>
      </c>
      <c r="P76" s="31">
        <f>'июнь 2014г. по 6-10'!P76+'июнь 2014г. по 0,4'!P73</f>
        <v>0</v>
      </c>
      <c r="Q76" s="31">
        <f>'июнь 2014г. по 6-10'!Q76+'июнь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'июнь 2014г. по 6-10'!D77+'июнь 2014г. по 0,4'!D74</f>
        <v>11</v>
      </c>
      <c r="E77" s="31">
        <f>'июнь 2014г. по 6-10'!E77+'июнь 2014г. по 0,4'!E74</f>
        <v>94</v>
      </c>
      <c r="F77" s="31">
        <f>'июнь 2014г. по 6-10'!F77+'июнь 2014г. по 0,4'!F74</f>
        <v>11</v>
      </c>
      <c r="G77" s="31">
        <f>'июнь 2014г. по 6-10'!G77+'июнь 2014г. по 0,4'!G74</f>
        <v>94</v>
      </c>
      <c r="H77" s="31">
        <f>'июнь 2014г. по 6-10'!H77+'июнь 2014г. по 0,4'!H74</f>
        <v>0</v>
      </c>
      <c r="I77" s="31">
        <f>'июнь 2014г. по 6-10'!I77+'июнь 2014г. по 0,4'!I74</f>
        <v>0</v>
      </c>
      <c r="J77" s="31">
        <f>'июнь 2014г. по 6-10'!J77+'июнь 2014г. по 0,4'!J74</f>
        <v>0</v>
      </c>
      <c r="K77" s="31">
        <f>'июнь 2014г. по 6-10'!K77+'июнь 2014г. по 0,4'!K74</f>
        <v>0</v>
      </c>
      <c r="L77" s="31">
        <f>'июнь 2014г. по 6-10'!L77+'июнь 2014г. по 0,4'!L74</f>
        <v>0</v>
      </c>
      <c r="M77" s="31">
        <f>'июнь 2014г. по 6-10'!M77+'июнь 2014г. по 0,4'!M74</f>
        <v>0</v>
      </c>
      <c r="N77" s="31">
        <f>'июнь 2014г. по 6-10'!N77+'июнь 2014г. по 0,4'!N74</f>
        <v>0</v>
      </c>
      <c r="O77" s="31">
        <f>'июнь 2014г. по 6-10'!O77+'июнь 2014г. по 0,4'!O74</f>
        <v>0</v>
      </c>
      <c r="P77" s="31">
        <f>'июнь 2014г. по 6-10'!P77+'июнь 2014г. по 0,4'!P74</f>
        <v>0</v>
      </c>
      <c r="Q77" s="31">
        <f>'июнь 2014г. по 6-10'!Q77+'июнь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'июнь 2014г. по 6-10'!D78+'июнь 2014г. по 0,4'!D75</f>
        <v>4</v>
      </c>
      <c r="E78" s="31">
        <f>'июнь 2014г. по 6-10'!E78+'июнь 2014г. по 0,4'!E75</f>
        <v>53.5</v>
      </c>
      <c r="F78" s="31">
        <f>'июнь 2014г. по 6-10'!F78+'июнь 2014г. по 0,4'!F75</f>
        <v>4</v>
      </c>
      <c r="G78" s="31">
        <f>'июнь 2014г. по 6-10'!G78+'июнь 2014г. по 0,4'!G75</f>
        <v>53.5</v>
      </c>
      <c r="H78" s="31">
        <f>'июнь 2014г. по 6-10'!H78+'июнь 2014г. по 0,4'!H75</f>
        <v>0</v>
      </c>
      <c r="I78" s="31">
        <f>'июнь 2014г. по 6-10'!I78+'июнь 2014г. по 0,4'!I75</f>
        <v>0</v>
      </c>
      <c r="J78" s="31">
        <f>'июнь 2014г. по 6-10'!J78+'июнь 2014г. по 0,4'!J75</f>
        <v>0</v>
      </c>
      <c r="K78" s="31">
        <f>'июнь 2014г. по 6-10'!K78+'июнь 2014г. по 0,4'!K75</f>
        <v>0</v>
      </c>
      <c r="L78" s="31">
        <f>'июнь 2014г. по 6-10'!L78+'июнь 2014г. по 0,4'!L75</f>
        <v>0</v>
      </c>
      <c r="M78" s="31">
        <f>'июнь 2014г. по 6-10'!M78+'июнь 2014г. по 0,4'!M75</f>
        <v>0</v>
      </c>
      <c r="N78" s="31">
        <f>'июнь 2014г. по 6-10'!N78+'июнь 2014г. по 0,4'!N75</f>
        <v>0</v>
      </c>
      <c r="O78" s="31">
        <f>'июнь 2014г. по 6-10'!O78+'июнь 2014г. по 0,4'!O75</f>
        <v>0</v>
      </c>
      <c r="P78" s="31">
        <f>'июнь 2014г. по 6-10'!P78+'июнь 2014г. по 0,4'!P75</f>
        <v>0</v>
      </c>
      <c r="Q78" s="31">
        <f>'июнь 2014г. по 6-10'!Q78+'июнь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'июнь 2014г. по 6-10'!D79+'июнь 2014г. по 0,4'!D76</f>
        <v>0</v>
      </c>
      <c r="E79" s="31">
        <f>'июнь 2014г. по 6-10'!E79+'июнь 2014г. по 0,4'!E76</f>
        <v>0</v>
      </c>
      <c r="F79" s="31">
        <f>'июнь 2014г. по 6-10'!F79+'июнь 2014г. по 0,4'!F76</f>
        <v>0</v>
      </c>
      <c r="G79" s="31">
        <f>'июнь 2014г. по 6-10'!G79+'июнь 2014г. по 0,4'!G76</f>
        <v>0</v>
      </c>
      <c r="H79" s="31">
        <f>'июнь 2014г. по 6-10'!H79+'июнь 2014г. по 0,4'!H76</f>
        <v>0</v>
      </c>
      <c r="I79" s="31">
        <f>'июнь 2014г. по 6-10'!I79+'июнь 2014г. по 0,4'!I76</f>
        <v>0</v>
      </c>
      <c r="J79" s="31">
        <f>'июнь 2014г. по 6-10'!J79+'июнь 2014г. по 0,4'!J76</f>
        <v>0</v>
      </c>
      <c r="K79" s="31">
        <f>'июнь 2014г. по 6-10'!K79+'июнь 2014г. по 0,4'!K76</f>
        <v>0</v>
      </c>
      <c r="L79" s="31">
        <f>'июнь 2014г. по 6-10'!L79+'июнь 2014г. по 0,4'!L76</f>
        <v>0</v>
      </c>
      <c r="M79" s="31">
        <f>'июнь 2014г. по 6-10'!M79+'июнь 2014г. по 0,4'!M76</f>
        <v>0</v>
      </c>
      <c r="N79" s="31">
        <f>'июнь 2014г. по 6-10'!N79+'июнь 2014г. по 0,4'!N76</f>
        <v>0</v>
      </c>
      <c r="O79" s="31">
        <f>'июнь 2014г. по 6-10'!O79+'июнь 2014г. по 0,4'!O76</f>
        <v>0</v>
      </c>
      <c r="P79" s="31">
        <f>'июнь 2014г. по 6-10'!P79+'июнь 2014г. по 0,4'!P76</f>
        <v>0</v>
      </c>
      <c r="Q79" s="31">
        <f>'июнь 2014г. по 6-10'!Q79+'июнь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'июнь 2014г. по 6-10'!D80+'июнь 2014г. по 0,4'!D77</f>
        <v>1</v>
      </c>
      <c r="E80" s="31">
        <f>'июнь 2014г. по 6-10'!E80+'июнь 2014г. по 0,4'!E77</f>
        <v>7</v>
      </c>
      <c r="F80" s="31">
        <f>'июнь 2014г. по 6-10'!F80+'июнь 2014г. по 0,4'!F77</f>
        <v>1</v>
      </c>
      <c r="G80" s="31">
        <f>'июнь 2014г. по 6-10'!G80+'июнь 2014г. по 0,4'!G77</f>
        <v>7</v>
      </c>
      <c r="H80" s="31">
        <f>'июнь 2014г. по 6-10'!H80+'июнь 2014г. по 0,4'!H77</f>
        <v>0</v>
      </c>
      <c r="I80" s="31">
        <f>'июнь 2014г. по 6-10'!I80+'июнь 2014г. по 0,4'!I77</f>
        <v>0</v>
      </c>
      <c r="J80" s="31">
        <f>'июнь 2014г. по 6-10'!J80+'июнь 2014г. по 0,4'!J77</f>
        <v>0</v>
      </c>
      <c r="K80" s="31">
        <f>'июнь 2014г. по 6-10'!K80+'июнь 2014г. по 0,4'!K77</f>
        <v>0</v>
      </c>
      <c r="L80" s="31">
        <f>'июнь 2014г. по 6-10'!L80+'июнь 2014г. по 0,4'!L77</f>
        <v>0</v>
      </c>
      <c r="M80" s="31">
        <f>'июнь 2014г. по 6-10'!M80+'июнь 2014г. по 0,4'!M77</f>
        <v>0</v>
      </c>
      <c r="N80" s="31">
        <f>'июнь 2014г. по 6-10'!N80+'июнь 2014г. по 0,4'!N77</f>
        <v>0</v>
      </c>
      <c r="O80" s="31">
        <f>'июнь 2014г. по 6-10'!O80+'июнь 2014г. по 0,4'!O77</f>
        <v>0</v>
      </c>
      <c r="P80" s="31">
        <f>'июнь 2014г. по 6-10'!P80+'июнь 2014г. по 0,4'!P77</f>
        <v>0</v>
      </c>
      <c r="Q80" s="31">
        <f>'июнь 2014г. по 6-10'!Q80+'июнь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'июнь 2014г. по 6-10'!D81+'июнь 2014г. по 0,4'!D78</f>
        <v>6</v>
      </c>
      <c r="E81" s="31">
        <f>'июнь 2014г. по 6-10'!E81+'июнь 2014г. по 0,4'!E78</f>
        <v>65</v>
      </c>
      <c r="F81" s="31">
        <f>'июнь 2014г. по 6-10'!F81+'июнь 2014г. по 0,4'!F78</f>
        <v>6</v>
      </c>
      <c r="G81" s="31">
        <f>'июнь 2014г. по 6-10'!G81+'июнь 2014г. по 0,4'!G78</f>
        <v>65</v>
      </c>
      <c r="H81" s="31">
        <f>'июнь 2014г. по 6-10'!H81+'июнь 2014г. по 0,4'!H78</f>
        <v>0</v>
      </c>
      <c r="I81" s="31">
        <f>'июнь 2014г. по 6-10'!I81+'июнь 2014г. по 0,4'!I78</f>
        <v>0</v>
      </c>
      <c r="J81" s="31">
        <f>'июнь 2014г. по 6-10'!J81+'июнь 2014г. по 0,4'!J78</f>
        <v>1</v>
      </c>
      <c r="K81" s="31">
        <f>'июнь 2014г. по 6-10'!K81+'июнь 2014г. по 0,4'!K78</f>
        <v>8</v>
      </c>
      <c r="L81" s="31">
        <f>'июнь 2014г. по 6-10'!L81+'июнь 2014г. по 0,4'!L78</f>
        <v>0</v>
      </c>
      <c r="M81" s="31">
        <f>'июнь 2014г. по 6-10'!M81+'июнь 2014г. по 0,4'!M78</f>
        <v>0</v>
      </c>
      <c r="N81" s="31">
        <f>'июнь 2014г. по 6-10'!N81+'июнь 2014г. по 0,4'!N78</f>
        <v>0</v>
      </c>
      <c r="O81" s="31">
        <f>'июнь 2014г. по 6-10'!O81+'июнь 2014г. по 0,4'!O78</f>
        <v>0</v>
      </c>
      <c r="P81" s="31">
        <f>'июнь 2014г. по 6-10'!P81+'июнь 2014г. по 0,4'!P78</f>
        <v>0</v>
      </c>
      <c r="Q81" s="31">
        <f>'июнь 2014г. по 6-10'!Q81+'июнь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'июнь 2014г. по 6-10'!D82+'июнь 2014г. по 0,4'!D79</f>
        <v>1</v>
      </c>
      <c r="E82" s="31">
        <f>'июнь 2014г. по 6-10'!E82+'июнь 2014г. по 0,4'!E79</f>
        <v>5</v>
      </c>
      <c r="F82" s="31">
        <f>'июнь 2014г. по 6-10'!F82+'июнь 2014г. по 0,4'!F79</f>
        <v>1</v>
      </c>
      <c r="G82" s="31">
        <f>'июнь 2014г. по 6-10'!G82+'июнь 2014г. по 0,4'!G79</f>
        <v>5</v>
      </c>
      <c r="H82" s="31">
        <f>'июнь 2014г. по 6-10'!H82+'июнь 2014г. по 0,4'!H79</f>
        <v>0</v>
      </c>
      <c r="I82" s="31">
        <f>'июнь 2014г. по 6-10'!I82+'июнь 2014г. по 0,4'!I79</f>
        <v>0</v>
      </c>
      <c r="J82" s="31">
        <f>'июнь 2014г. по 6-10'!J82+'июнь 2014г. по 0,4'!J79</f>
        <v>0</v>
      </c>
      <c r="K82" s="31">
        <f>'июнь 2014г. по 6-10'!K82+'июнь 2014г. по 0,4'!K79</f>
        <v>0</v>
      </c>
      <c r="L82" s="31">
        <f>'июнь 2014г. по 6-10'!L82+'июнь 2014г. по 0,4'!L79</f>
        <v>0</v>
      </c>
      <c r="M82" s="31">
        <f>'июнь 2014г. по 6-10'!M82+'июнь 2014г. по 0,4'!M79</f>
        <v>0</v>
      </c>
      <c r="N82" s="31">
        <f>'июнь 2014г. по 6-10'!N82+'июнь 2014г. по 0,4'!N79</f>
        <v>0</v>
      </c>
      <c r="O82" s="31">
        <f>'июнь 2014г. по 6-10'!O82+'июнь 2014г. по 0,4'!O79</f>
        <v>0</v>
      </c>
      <c r="P82" s="31">
        <f>'июнь 2014г. по 6-10'!P82+'июнь 2014г. по 0,4'!P79</f>
        <v>0</v>
      </c>
      <c r="Q82" s="31">
        <f>'июнь 2014г. по 6-10'!Q82+'июнь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'июнь 2014г. по 6-10'!D83+'июнь 2014г. по 0,4'!D80</f>
        <v>4</v>
      </c>
      <c r="E83" s="31">
        <f>'июнь 2014г. по 6-10'!E83+'июнь 2014г. по 0,4'!E80</f>
        <v>120</v>
      </c>
      <c r="F83" s="31">
        <f>'июнь 2014г. по 6-10'!F83+'июнь 2014г. по 0,4'!F80</f>
        <v>4</v>
      </c>
      <c r="G83" s="31">
        <f>'июнь 2014г. по 6-10'!G83+'июнь 2014г. по 0,4'!G80</f>
        <v>120</v>
      </c>
      <c r="H83" s="31">
        <f>'июнь 2014г. по 6-10'!H83+'июнь 2014г. по 0,4'!H80</f>
        <v>0</v>
      </c>
      <c r="I83" s="31">
        <f>'июнь 2014г. по 6-10'!I83+'июнь 2014г. по 0,4'!I80</f>
        <v>0</v>
      </c>
      <c r="J83" s="31">
        <f>'июнь 2014г. по 6-10'!J83+'июнь 2014г. по 0,4'!J80</f>
        <v>0</v>
      </c>
      <c r="K83" s="31">
        <f>'июнь 2014г. по 6-10'!K83+'июнь 2014г. по 0,4'!K80</f>
        <v>0</v>
      </c>
      <c r="L83" s="31">
        <f>'июнь 2014г. по 6-10'!L83+'июнь 2014г. по 0,4'!L80</f>
        <v>0</v>
      </c>
      <c r="M83" s="31">
        <f>'июнь 2014г. по 6-10'!M83+'июнь 2014г. по 0,4'!M80</f>
        <v>0</v>
      </c>
      <c r="N83" s="31">
        <f>'июнь 2014г. по 6-10'!N83+'июнь 2014г. по 0,4'!N80</f>
        <v>0</v>
      </c>
      <c r="O83" s="31">
        <f>'июнь 2014г. по 6-10'!O83+'июнь 2014г. по 0,4'!O80</f>
        <v>0</v>
      </c>
      <c r="P83" s="31">
        <f>'июнь 2014г. по 6-10'!P83+'июнь 2014г. по 0,4'!P80</f>
        <v>0</v>
      </c>
      <c r="Q83" s="31">
        <f>'июнь 2014г. по 6-10'!Q83+'июнь 2014г. по 0,4'!Q80</f>
        <v>0</v>
      </c>
    </row>
    <row r="84" spans="1:17" ht="12.75" customHeight="1" x14ac:dyDescent="0.2">
      <c r="A84" s="18"/>
      <c r="B84" s="53"/>
      <c r="C84" s="18" t="s">
        <v>353</v>
      </c>
      <c r="D84" s="31">
        <f>'июнь 2014г. по 6-10'!D84+'июнь 2014г. по 0,4'!D81</f>
        <v>4</v>
      </c>
      <c r="E84" s="31">
        <f>'июнь 2014г. по 6-10'!E84+'июнь 2014г. по 0,4'!E81</f>
        <v>35</v>
      </c>
      <c r="F84" s="31">
        <f>'июнь 2014г. по 6-10'!F84+'июнь 2014г. по 0,4'!F81</f>
        <v>4</v>
      </c>
      <c r="G84" s="31">
        <f>'июнь 2014г. по 6-10'!G84+'июнь 2014г. по 0,4'!G81</f>
        <v>35</v>
      </c>
      <c r="H84" s="31">
        <f>'июнь 2014г. по 6-10'!H84+'июнь 2014г. по 0,4'!H81</f>
        <v>0</v>
      </c>
      <c r="I84" s="31">
        <f>'июнь 2014г. по 6-10'!I84+'июнь 2014г. по 0,4'!I81</f>
        <v>0</v>
      </c>
      <c r="J84" s="31">
        <f>'июнь 2014г. по 6-10'!J84+'июнь 2014г. по 0,4'!J81</f>
        <v>0</v>
      </c>
      <c r="K84" s="31">
        <f>'июнь 2014г. по 6-10'!K84+'июнь 2014г. по 0,4'!K81</f>
        <v>0</v>
      </c>
      <c r="L84" s="31">
        <f>'июнь 2014г. по 6-10'!L84+'июнь 2014г. по 0,4'!L81</f>
        <v>0</v>
      </c>
      <c r="M84" s="31">
        <f>'июнь 2014г. по 6-10'!M84+'июнь 2014г. по 0,4'!M81</f>
        <v>0</v>
      </c>
      <c r="N84" s="31">
        <f>'июнь 2014г. по 6-10'!N84+'июнь 2014г. по 0,4'!N81</f>
        <v>0</v>
      </c>
      <c r="O84" s="31">
        <f>'июнь 2014г. по 6-10'!O84+'июнь 2014г. по 0,4'!O81</f>
        <v>0</v>
      </c>
      <c r="P84" s="31">
        <f>'июнь 2014г. по 6-10'!P84+'июнь 2014г. по 0,4'!P81</f>
        <v>0</v>
      </c>
      <c r="Q84" s="31">
        <f>'июнь 2014г. по 6-10'!Q84+'июнь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'июнь 2014г. по 6-10'!D85+'июнь 2014г. по 0,4'!D82</f>
        <v>2</v>
      </c>
      <c r="E85" s="31">
        <f>'июнь 2014г. по 6-10'!E85+'июнь 2014г. по 0,4'!E82</f>
        <v>19</v>
      </c>
      <c r="F85" s="31">
        <f>'июнь 2014г. по 6-10'!F85+'июнь 2014г. по 0,4'!F82</f>
        <v>2</v>
      </c>
      <c r="G85" s="31">
        <f>'июнь 2014г. по 6-10'!G85+'июнь 2014г. по 0,4'!G82</f>
        <v>19</v>
      </c>
      <c r="H85" s="31">
        <f>'июнь 2014г. по 6-10'!H85+'июнь 2014г. по 0,4'!H82</f>
        <v>0</v>
      </c>
      <c r="I85" s="31">
        <f>'июнь 2014г. по 6-10'!I85+'июнь 2014г. по 0,4'!I82</f>
        <v>0</v>
      </c>
      <c r="J85" s="31">
        <f>'июнь 2014г. по 6-10'!J85+'июнь 2014г. по 0,4'!J82</f>
        <v>1</v>
      </c>
      <c r="K85" s="31">
        <f>'июнь 2014г. по 6-10'!K85+'июнь 2014г. по 0,4'!K82</f>
        <v>4</v>
      </c>
      <c r="L85" s="31">
        <f>'июнь 2014г. по 6-10'!L85+'июнь 2014г. по 0,4'!L82</f>
        <v>0</v>
      </c>
      <c r="M85" s="31">
        <f>'июнь 2014г. по 6-10'!M85+'июнь 2014г. по 0,4'!M82</f>
        <v>0</v>
      </c>
      <c r="N85" s="31">
        <f>'июнь 2014г. по 6-10'!N85+'июнь 2014г. по 0,4'!N82</f>
        <v>0</v>
      </c>
      <c r="O85" s="31">
        <f>'июнь 2014г. по 6-10'!O85+'июнь 2014г. по 0,4'!O82</f>
        <v>0</v>
      </c>
      <c r="P85" s="31">
        <f>'июнь 2014г. по 6-10'!P85+'июнь 2014г. по 0,4'!P82</f>
        <v>0</v>
      </c>
      <c r="Q85" s="31">
        <f>'июнь 2014г. по 6-10'!Q85+'июнь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'июнь 2014г. по 6-10'!D86+'июнь 2014г. по 0,4'!D83</f>
        <v>5</v>
      </c>
      <c r="E86" s="31">
        <f>'июнь 2014г. по 6-10'!E86+'июнь 2014г. по 0,4'!E83</f>
        <v>43.5</v>
      </c>
      <c r="F86" s="31">
        <f>'июнь 2014г. по 6-10'!F86+'июнь 2014г. по 0,4'!F83</f>
        <v>5</v>
      </c>
      <c r="G86" s="31">
        <f>'июнь 2014г. по 6-10'!G86+'июнь 2014г. по 0,4'!G83</f>
        <v>43.5</v>
      </c>
      <c r="H86" s="31">
        <f>'июнь 2014г. по 6-10'!H86+'июнь 2014г. по 0,4'!H83</f>
        <v>0</v>
      </c>
      <c r="I86" s="31">
        <f>'июнь 2014г. по 6-10'!I86+'июнь 2014г. по 0,4'!I83</f>
        <v>0</v>
      </c>
      <c r="J86" s="31">
        <f>'июнь 2014г. по 6-10'!J86+'июнь 2014г. по 0,4'!J83</f>
        <v>0</v>
      </c>
      <c r="K86" s="31">
        <f>'июнь 2014г. по 6-10'!K86+'июнь 2014г. по 0,4'!K83</f>
        <v>0</v>
      </c>
      <c r="L86" s="31">
        <f>'июнь 2014г. по 6-10'!L86+'июнь 2014г. по 0,4'!L83</f>
        <v>0</v>
      </c>
      <c r="M86" s="31">
        <f>'июнь 2014г. по 6-10'!M86+'июнь 2014г. по 0,4'!M83</f>
        <v>0</v>
      </c>
      <c r="N86" s="31">
        <f>'июнь 2014г. по 6-10'!N86+'июнь 2014г. по 0,4'!N83</f>
        <v>0</v>
      </c>
      <c r="O86" s="31">
        <f>'июнь 2014г. по 6-10'!O86+'июнь 2014г. по 0,4'!O83</f>
        <v>0</v>
      </c>
      <c r="P86" s="31">
        <f>'июнь 2014г. по 6-10'!P86+'июнь 2014г. по 0,4'!P83</f>
        <v>0</v>
      </c>
      <c r="Q86" s="31">
        <f>'июнь 2014г. по 6-10'!Q86+'июнь 2014г. по 0,4'!Q83</f>
        <v>0</v>
      </c>
    </row>
    <row r="87" spans="1:17" ht="12.75" customHeight="1" x14ac:dyDescent="0.2">
      <c r="A87" s="18"/>
      <c r="B87" s="53"/>
      <c r="C87" s="18" t="s">
        <v>358</v>
      </c>
      <c r="D87" s="31">
        <f>'июнь 2014г. по 6-10'!D87+'июнь 2014г. по 0,4'!D84</f>
        <v>2</v>
      </c>
      <c r="E87" s="31">
        <f>'июнь 2014г. по 6-10'!E87+'июнь 2014г. по 0,4'!E84</f>
        <v>20</v>
      </c>
      <c r="F87" s="31">
        <f>'июнь 2014г. по 6-10'!F87+'июнь 2014г. по 0,4'!F84</f>
        <v>2</v>
      </c>
      <c r="G87" s="31">
        <f>'июнь 2014г. по 6-10'!G87+'июнь 2014г. по 0,4'!G84</f>
        <v>20</v>
      </c>
      <c r="H87" s="31">
        <f>'июнь 2014г. по 6-10'!H87+'июнь 2014г. по 0,4'!H84</f>
        <v>0</v>
      </c>
      <c r="I87" s="31">
        <f>'июнь 2014г. по 6-10'!I87+'июнь 2014г. по 0,4'!I84</f>
        <v>0</v>
      </c>
      <c r="J87" s="31">
        <f>'июнь 2014г. по 6-10'!J87+'июнь 2014г. по 0,4'!J84</f>
        <v>0</v>
      </c>
      <c r="K87" s="31">
        <f>'июнь 2014г. по 6-10'!K87+'июнь 2014г. по 0,4'!K84</f>
        <v>0</v>
      </c>
      <c r="L87" s="31">
        <f>'июнь 2014г. по 6-10'!L87+'июнь 2014г. по 0,4'!L84</f>
        <v>0</v>
      </c>
      <c r="M87" s="31">
        <f>'июнь 2014г. по 6-10'!M87+'июнь 2014г. по 0,4'!M84</f>
        <v>0</v>
      </c>
      <c r="N87" s="31">
        <f>'июнь 2014г. по 6-10'!N87+'июнь 2014г. по 0,4'!N84</f>
        <v>0</v>
      </c>
      <c r="O87" s="31">
        <f>'июнь 2014г. по 6-10'!O87+'июнь 2014г. по 0,4'!O84</f>
        <v>0</v>
      </c>
      <c r="P87" s="31">
        <f>'июнь 2014г. по 6-10'!P87+'июнь 2014г. по 0,4'!P84</f>
        <v>0</v>
      </c>
      <c r="Q87" s="31">
        <f>'июнь 2014г. по 6-10'!Q87+'июнь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'июнь 2014г. по 6-10'!D88+'июнь 2014г. по 0,4'!D85</f>
        <v>1</v>
      </c>
      <c r="E88" s="31">
        <f>'июнь 2014г. по 6-10'!E88+'июнь 2014г. по 0,4'!E85</f>
        <v>15</v>
      </c>
      <c r="F88" s="31">
        <f>'июнь 2014г. по 6-10'!F88+'июнь 2014г. по 0,4'!F85</f>
        <v>1</v>
      </c>
      <c r="G88" s="31">
        <f>'июнь 2014г. по 6-10'!G88+'июнь 2014г. по 0,4'!G85</f>
        <v>15</v>
      </c>
      <c r="H88" s="31">
        <f>'июнь 2014г. по 6-10'!H88+'июнь 2014г. по 0,4'!H85</f>
        <v>0</v>
      </c>
      <c r="I88" s="31">
        <f>'июнь 2014г. по 6-10'!I88+'июнь 2014г. по 0,4'!I85</f>
        <v>0</v>
      </c>
      <c r="J88" s="31">
        <f>'июнь 2014г. по 6-10'!J88+'июнь 2014г. по 0,4'!J85</f>
        <v>0</v>
      </c>
      <c r="K88" s="31">
        <f>'июнь 2014г. по 6-10'!K88+'июнь 2014г. по 0,4'!K85</f>
        <v>0</v>
      </c>
      <c r="L88" s="31">
        <f>'июнь 2014г. по 6-10'!L88+'июнь 2014г. по 0,4'!L85</f>
        <v>0</v>
      </c>
      <c r="M88" s="31">
        <f>'июнь 2014г. по 6-10'!M88+'июнь 2014г. по 0,4'!M85</f>
        <v>0</v>
      </c>
      <c r="N88" s="31">
        <f>'июнь 2014г. по 6-10'!N88+'июнь 2014г. по 0,4'!N85</f>
        <v>0</v>
      </c>
      <c r="O88" s="31">
        <f>'июнь 2014г. по 6-10'!O88+'июнь 2014г. по 0,4'!O85</f>
        <v>0</v>
      </c>
      <c r="P88" s="31">
        <f>'июнь 2014г. по 6-10'!P88+'июнь 2014г. по 0,4'!P85</f>
        <v>0</v>
      </c>
      <c r="Q88" s="31">
        <f>'июнь 2014г. по 6-10'!Q88+'июнь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'июнь 2014г. по 6-10'!D89+'июнь 2014г. по 0,4'!D86</f>
        <v>0</v>
      </c>
      <c r="E89" s="31">
        <f>'июнь 2014г. по 6-10'!E89+'июнь 2014г. по 0,4'!E86</f>
        <v>0</v>
      </c>
      <c r="F89" s="31">
        <f>'июнь 2014г. по 6-10'!F89+'июнь 2014г. по 0,4'!F86</f>
        <v>0</v>
      </c>
      <c r="G89" s="31">
        <f>'июнь 2014г. по 6-10'!G89+'июнь 2014г. по 0,4'!G86</f>
        <v>0</v>
      </c>
      <c r="H89" s="31">
        <f>'июнь 2014г. по 6-10'!H89+'июнь 2014г. по 0,4'!H86</f>
        <v>0</v>
      </c>
      <c r="I89" s="31">
        <f>'июнь 2014г. по 6-10'!I89+'июнь 2014г. по 0,4'!I86</f>
        <v>0</v>
      </c>
      <c r="J89" s="31">
        <f>'июнь 2014г. по 6-10'!J89+'июнь 2014г. по 0,4'!J86</f>
        <v>0</v>
      </c>
      <c r="K89" s="31">
        <f>'июнь 2014г. по 6-10'!K89+'июнь 2014г. по 0,4'!K86</f>
        <v>0</v>
      </c>
      <c r="L89" s="31">
        <f>'июнь 2014г. по 6-10'!L89+'июнь 2014г. по 0,4'!L86</f>
        <v>0</v>
      </c>
      <c r="M89" s="31">
        <f>'июнь 2014г. по 6-10'!M89+'июнь 2014г. по 0,4'!M86</f>
        <v>0</v>
      </c>
      <c r="N89" s="31">
        <f>'июнь 2014г. по 6-10'!N89+'июнь 2014г. по 0,4'!N86</f>
        <v>0</v>
      </c>
      <c r="O89" s="31">
        <f>'июнь 2014г. по 6-10'!O89+'июнь 2014г. по 0,4'!O86</f>
        <v>0</v>
      </c>
      <c r="P89" s="31">
        <f>'июнь 2014г. по 6-10'!P89+'июнь 2014г. по 0,4'!P86</f>
        <v>0</v>
      </c>
      <c r="Q89" s="31">
        <f>'июнь 2014г. по 6-10'!Q89+'июнь 2014г. по 0,4'!Q86</f>
        <v>0</v>
      </c>
    </row>
    <row r="90" spans="1:17" ht="12.75" customHeight="1" x14ac:dyDescent="0.2">
      <c r="A90" s="18"/>
      <c r="B90" s="53"/>
      <c r="C90" s="18" t="s">
        <v>354</v>
      </c>
      <c r="D90" s="31">
        <f>'июнь 2014г. по 6-10'!D90+'июнь 2014г. по 0,4'!D87</f>
        <v>2</v>
      </c>
      <c r="E90" s="31">
        <f>'июнь 2014г. по 6-10'!E90+'июнь 2014г. по 0,4'!E87</f>
        <v>20</v>
      </c>
      <c r="F90" s="31">
        <f>'июнь 2014г. по 6-10'!F90+'июнь 2014г. по 0,4'!F87</f>
        <v>2</v>
      </c>
      <c r="G90" s="31">
        <f>'июнь 2014г. по 6-10'!G90+'июнь 2014г. по 0,4'!G87</f>
        <v>20</v>
      </c>
      <c r="H90" s="31">
        <f>'июнь 2014г. по 6-10'!H90+'июнь 2014г. по 0,4'!H87</f>
        <v>0</v>
      </c>
      <c r="I90" s="31">
        <f>'июнь 2014г. по 6-10'!I90+'июнь 2014г. по 0,4'!I87</f>
        <v>0</v>
      </c>
      <c r="J90" s="31">
        <f>'июнь 2014г. по 6-10'!J90+'июнь 2014г. по 0,4'!J87</f>
        <v>0</v>
      </c>
      <c r="K90" s="31">
        <f>'июнь 2014г. по 6-10'!K90+'июнь 2014г. по 0,4'!K87</f>
        <v>0</v>
      </c>
      <c r="L90" s="31">
        <f>'июнь 2014г. по 6-10'!L90+'июнь 2014г. по 0,4'!L87</f>
        <v>0</v>
      </c>
      <c r="M90" s="31">
        <f>'июнь 2014г. по 6-10'!M90+'июнь 2014г. по 0,4'!M87</f>
        <v>0</v>
      </c>
      <c r="N90" s="31">
        <f>'июнь 2014г. по 6-10'!N90+'июнь 2014г. по 0,4'!N87</f>
        <v>0</v>
      </c>
      <c r="O90" s="31">
        <f>'июнь 2014г. по 6-10'!O90+'июнь 2014г. по 0,4'!O87</f>
        <v>0</v>
      </c>
      <c r="P90" s="31">
        <f>'июнь 2014г. по 6-10'!P90+'июнь 2014г. по 0,4'!P87</f>
        <v>0</v>
      </c>
      <c r="Q90" s="31">
        <f>'июнь 2014г. по 6-10'!Q90+'июнь 2014г. по 0,4'!Q87</f>
        <v>0</v>
      </c>
    </row>
    <row r="91" spans="1:17" ht="12.75" customHeight="1" x14ac:dyDescent="0.2">
      <c r="A91" s="18"/>
      <c r="B91" s="53"/>
      <c r="C91" s="18" t="s">
        <v>355</v>
      </c>
      <c r="D91" s="31">
        <f>'июнь 2014г. по 6-10'!D91+'июнь 2014г. по 0,4'!D88</f>
        <v>1</v>
      </c>
      <c r="E91" s="31">
        <f>'июнь 2014г. по 6-10'!E91+'июнь 2014г. по 0,4'!E88</f>
        <v>10</v>
      </c>
      <c r="F91" s="31">
        <f>'июнь 2014г. по 6-10'!F91+'июнь 2014г. по 0,4'!F88</f>
        <v>1</v>
      </c>
      <c r="G91" s="31">
        <f>'июнь 2014г. по 6-10'!G91+'июнь 2014г. по 0,4'!G88</f>
        <v>10</v>
      </c>
      <c r="H91" s="31">
        <f>'июнь 2014г. по 6-10'!H91+'июнь 2014г. по 0,4'!H88</f>
        <v>0</v>
      </c>
      <c r="I91" s="31">
        <f>'июнь 2014г. по 6-10'!I91+'июнь 2014г. по 0,4'!I88</f>
        <v>0</v>
      </c>
      <c r="J91" s="31">
        <f>'июнь 2014г. по 6-10'!J91+'июнь 2014г. по 0,4'!J88</f>
        <v>0</v>
      </c>
      <c r="K91" s="31">
        <f>'июнь 2014г. по 6-10'!K91+'июнь 2014г. по 0,4'!K88</f>
        <v>0</v>
      </c>
      <c r="L91" s="31">
        <f>'июнь 2014г. по 6-10'!L91+'июнь 2014г. по 0,4'!L88</f>
        <v>0</v>
      </c>
      <c r="M91" s="31">
        <f>'июнь 2014г. по 6-10'!M91+'июнь 2014г. по 0,4'!M88</f>
        <v>0</v>
      </c>
      <c r="N91" s="31">
        <f>'июнь 2014г. по 6-10'!N91+'июнь 2014г. по 0,4'!N88</f>
        <v>0</v>
      </c>
      <c r="O91" s="31">
        <f>'июнь 2014г. по 6-10'!O91+'июнь 2014г. по 0,4'!O88</f>
        <v>0</v>
      </c>
      <c r="P91" s="31">
        <f>'июнь 2014г. по 6-10'!P91+'июнь 2014г. по 0,4'!P88</f>
        <v>0</v>
      </c>
      <c r="Q91" s="31">
        <f>'июнь 2014г. по 6-10'!Q91+'июнь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'июнь 2014г. по 6-10'!D92+'июнь 2014г. по 0,4'!D89</f>
        <v>1</v>
      </c>
      <c r="E92" s="31">
        <f>'июнь 2014г. по 6-10'!E92+'июнь 2014г. по 0,4'!E89</f>
        <v>15</v>
      </c>
      <c r="F92" s="31">
        <f>'июнь 2014г. по 6-10'!F92+'июнь 2014г. по 0,4'!F89</f>
        <v>1</v>
      </c>
      <c r="G92" s="31">
        <f>'июнь 2014г. по 6-10'!G92+'июнь 2014г. по 0,4'!G89</f>
        <v>15</v>
      </c>
      <c r="H92" s="31">
        <f>'июнь 2014г. по 6-10'!H92+'июнь 2014г. по 0,4'!H89</f>
        <v>0</v>
      </c>
      <c r="I92" s="31">
        <f>'июнь 2014г. по 6-10'!I92+'июнь 2014г. по 0,4'!I89</f>
        <v>0</v>
      </c>
      <c r="J92" s="31">
        <f>'июнь 2014г. по 6-10'!J92+'июнь 2014г. по 0,4'!J89</f>
        <v>0</v>
      </c>
      <c r="K92" s="31">
        <f>'июнь 2014г. по 6-10'!K92+'июнь 2014г. по 0,4'!K89</f>
        <v>0</v>
      </c>
      <c r="L92" s="31">
        <f>'июнь 2014г. по 6-10'!L92+'июнь 2014г. по 0,4'!L89</f>
        <v>0</v>
      </c>
      <c r="M92" s="31">
        <f>'июнь 2014г. по 6-10'!M92+'июнь 2014г. по 0,4'!M89</f>
        <v>0</v>
      </c>
      <c r="N92" s="31">
        <f>'июнь 2014г. по 6-10'!N92+'июнь 2014г. по 0,4'!N89</f>
        <v>0</v>
      </c>
      <c r="O92" s="31">
        <f>'июнь 2014г. по 6-10'!O92+'июнь 2014г. по 0,4'!O89</f>
        <v>0</v>
      </c>
      <c r="P92" s="31">
        <f>'июнь 2014г. по 6-10'!P92+'июнь 2014г. по 0,4'!P89</f>
        <v>0</v>
      </c>
      <c r="Q92" s="31">
        <f>'июнь 2014г. по 6-10'!Q92+'июнь 2014г. по 0,4'!Q89</f>
        <v>0</v>
      </c>
    </row>
    <row r="93" spans="1:17" ht="12.75" customHeight="1" x14ac:dyDescent="0.2">
      <c r="A93" s="18"/>
      <c r="B93" s="53"/>
      <c r="C93" s="18" t="s">
        <v>356</v>
      </c>
      <c r="D93" s="31">
        <f>'июнь 2014г. по 6-10'!D93+'июнь 2014г. по 0,4'!D90</f>
        <v>10</v>
      </c>
      <c r="E93" s="31">
        <f>'июнь 2014г. по 6-10'!E93+'июнь 2014г. по 0,4'!E90</f>
        <v>112</v>
      </c>
      <c r="F93" s="31">
        <f>'июнь 2014г. по 6-10'!F93+'июнь 2014г. по 0,4'!F90</f>
        <v>10</v>
      </c>
      <c r="G93" s="31">
        <f>'июнь 2014г. по 6-10'!G93+'июнь 2014г. по 0,4'!G90</f>
        <v>112</v>
      </c>
      <c r="H93" s="31">
        <f>'июнь 2014г. по 6-10'!H93+'июнь 2014г. по 0,4'!H90</f>
        <v>0</v>
      </c>
      <c r="I93" s="31">
        <f>'июнь 2014г. по 6-10'!I93+'июнь 2014г. по 0,4'!I90</f>
        <v>0</v>
      </c>
      <c r="J93" s="31">
        <f>'июнь 2014г. по 6-10'!J93+'июнь 2014г. по 0,4'!J90</f>
        <v>0</v>
      </c>
      <c r="K93" s="31">
        <f>'июнь 2014г. по 6-10'!K93+'июнь 2014г. по 0,4'!K90</f>
        <v>0</v>
      </c>
      <c r="L93" s="31">
        <f>'июнь 2014г. по 6-10'!L93+'июнь 2014г. по 0,4'!L90</f>
        <v>0</v>
      </c>
      <c r="M93" s="31">
        <f>'июнь 2014г. по 6-10'!M93+'июнь 2014г. по 0,4'!M90</f>
        <v>0</v>
      </c>
      <c r="N93" s="31">
        <f>'июнь 2014г. по 6-10'!N93+'июнь 2014г. по 0,4'!N90</f>
        <v>0</v>
      </c>
      <c r="O93" s="31">
        <f>'июнь 2014г. по 6-10'!O93+'июнь 2014г. по 0,4'!O90</f>
        <v>0</v>
      </c>
      <c r="P93" s="31">
        <f>'июнь 2014г. по 6-10'!P93+'июнь 2014г. по 0,4'!P90</f>
        <v>0</v>
      </c>
      <c r="Q93" s="31">
        <f>'июнь 2014г. по 6-10'!Q93+'июнь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'июнь 2014г. по 6-10'!D94+'июнь 2014г. по 0,4'!D91</f>
        <v>0</v>
      </c>
      <c r="E94" s="31">
        <f>'июнь 2014г. по 6-10'!E94+'июнь 2014г. по 0,4'!E91</f>
        <v>0</v>
      </c>
      <c r="F94" s="31">
        <f>'июнь 2014г. по 6-10'!F94+'июнь 2014г. по 0,4'!F91</f>
        <v>0</v>
      </c>
      <c r="G94" s="31">
        <f>'июнь 2014г. по 6-10'!G94+'июнь 2014г. по 0,4'!G91</f>
        <v>0</v>
      </c>
      <c r="H94" s="31">
        <f>'июнь 2014г. по 6-10'!H94+'июнь 2014г. по 0,4'!H91</f>
        <v>0</v>
      </c>
      <c r="I94" s="31">
        <f>'июнь 2014г. по 6-10'!I94+'июнь 2014г. по 0,4'!I91</f>
        <v>0</v>
      </c>
      <c r="J94" s="31">
        <f>'июнь 2014г. по 6-10'!J94+'июнь 2014г. по 0,4'!J91</f>
        <v>0</v>
      </c>
      <c r="K94" s="31">
        <f>'июнь 2014г. по 6-10'!K94+'июнь 2014г. по 0,4'!K91</f>
        <v>0</v>
      </c>
      <c r="L94" s="31">
        <f>'июнь 2014г. по 6-10'!L94+'июнь 2014г. по 0,4'!L91</f>
        <v>0</v>
      </c>
      <c r="M94" s="31">
        <f>'июнь 2014г. по 6-10'!M94+'июнь 2014г. по 0,4'!M91</f>
        <v>0</v>
      </c>
      <c r="N94" s="31">
        <f>'июнь 2014г. по 6-10'!N94+'июнь 2014г. по 0,4'!N91</f>
        <v>0</v>
      </c>
      <c r="O94" s="31">
        <f>'июнь 2014г. по 6-10'!O94+'июнь 2014г. по 0,4'!O91</f>
        <v>0</v>
      </c>
      <c r="P94" s="31">
        <f>'июнь 2014г. по 6-10'!P94+'июнь 2014г. по 0,4'!P91</f>
        <v>0</v>
      </c>
      <c r="Q94" s="31">
        <f>'июнь 2014г. по 6-10'!Q94+'июнь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'июнь 2014г. по 6-10'!D95+'июнь 2014г. по 0,4'!D92</f>
        <v>0</v>
      </c>
      <c r="E95" s="31">
        <f>'июнь 2014г. по 6-10'!E95+'июнь 2014г. по 0,4'!E92</f>
        <v>0</v>
      </c>
      <c r="F95" s="31">
        <f>'июнь 2014г. по 6-10'!F95+'июнь 2014г. по 0,4'!F92</f>
        <v>0</v>
      </c>
      <c r="G95" s="31">
        <f>'июнь 2014г. по 6-10'!G95+'июнь 2014г. по 0,4'!G92</f>
        <v>0</v>
      </c>
      <c r="H95" s="31">
        <f>'июнь 2014г. по 6-10'!H95+'июнь 2014г. по 0,4'!H92</f>
        <v>0</v>
      </c>
      <c r="I95" s="31">
        <f>'июнь 2014г. по 6-10'!I95+'июнь 2014г. по 0,4'!I92</f>
        <v>0</v>
      </c>
      <c r="J95" s="31">
        <f>'июнь 2014г. по 6-10'!J95+'июнь 2014г. по 0,4'!J92</f>
        <v>0</v>
      </c>
      <c r="K95" s="31">
        <f>'июнь 2014г. по 6-10'!K95+'июнь 2014г. по 0,4'!K92</f>
        <v>0</v>
      </c>
      <c r="L95" s="31">
        <f>'июнь 2014г. по 6-10'!L95+'июнь 2014г. по 0,4'!L92</f>
        <v>0</v>
      </c>
      <c r="M95" s="31">
        <f>'июнь 2014г. по 6-10'!M95+'июнь 2014г. по 0,4'!M92</f>
        <v>0</v>
      </c>
      <c r="N95" s="31">
        <f>'июнь 2014г. по 6-10'!N95+'июнь 2014г. по 0,4'!N92</f>
        <v>0</v>
      </c>
      <c r="O95" s="31">
        <f>'июнь 2014г. по 6-10'!O95+'июнь 2014г. по 0,4'!O92</f>
        <v>0</v>
      </c>
      <c r="P95" s="31">
        <f>'июнь 2014г. по 6-10'!P95+'июнь 2014г. по 0,4'!P92</f>
        <v>0</v>
      </c>
      <c r="Q95" s="31">
        <f>'июнь 2014г. по 6-10'!Q95+'июнь 2014г. по 0,4'!Q92</f>
        <v>0</v>
      </c>
    </row>
    <row r="96" spans="1:17" ht="12.75" customHeight="1" x14ac:dyDescent="0.2">
      <c r="A96" s="18"/>
      <c r="B96" s="53"/>
      <c r="C96" s="18" t="s">
        <v>359</v>
      </c>
      <c r="D96" s="31">
        <f>'июнь 2014г. по 6-10'!D96+'июнь 2014г. по 0,4'!D93</f>
        <v>1</v>
      </c>
      <c r="E96" s="31">
        <f>'июнь 2014г. по 6-10'!E96+'июнь 2014г. по 0,4'!E93</f>
        <v>6</v>
      </c>
      <c r="F96" s="31">
        <f>'июнь 2014г. по 6-10'!F96+'июнь 2014г. по 0,4'!F93</f>
        <v>1</v>
      </c>
      <c r="G96" s="31">
        <f>'июнь 2014г. по 6-10'!G96+'июнь 2014г. по 0,4'!G93</f>
        <v>6</v>
      </c>
      <c r="H96" s="31">
        <f>'июнь 2014г. по 6-10'!H96+'июнь 2014г. по 0,4'!H93</f>
        <v>0</v>
      </c>
      <c r="I96" s="31">
        <f>'июнь 2014г. по 6-10'!I96+'июнь 2014г. по 0,4'!I93</f>
        <v>0</v>
      </c>
      <c r="J96" s="31">
        <f>'июнь 2014г. по 6-10'!J96+'июнь 2014г. по 0,4'!J93</f>
        <v>0</v>
      </c>
      <c r="K96" s="31">
        <f>'июнь 2014г. по 6-10'!K96+'июнь 2014г. по 0,4'!K93</f>
        <v>0</v>
      </c>
      <c r="L96" s="31">
        <f>'июнь 2014г. по 6-10'!L96+'июнь 2014г. по 0,4'!L93</f>
        <v>0</v>
      </c>
      <c r="M96" s="31">
        <f>'июнь 2014г. по 6-10'!M96+'июнь 2014г. по 0,4'!M93</f>
        <v>0</v>
      </c>
      <c r="N96" s="31">
        <f>'июнь 2014г. по 6-10'!N96+'июнь 2014г. по 0,4'!N93</f>
        <v>0</v>
      </c>
      <c r="O96" s="31">
        <f>'июнь 2014г. по 6-10'!O96+'июнь 2014г. по 0,4'!O93</f>
        <v>0</v>
      </c>
      <c r="P96" s="31">
        <f>'июнь 2014г. по 6-10'!P96+'июнь 2014г. по 0,4'!P93</f>
        <v>0</v>
      </c>
      <c r="Q96" s="31">
        <f>'июнь 2014г. по 6-10'!Q96+'июнь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'июнь 2014г. по 6-10'!D97+'июнь 2014г. по 0,4'!D94</f>
        <v>6</v>
      </c>
      <c r="E97" s="31">
        <f>'июнь 2014г. по 6-10'!E97+'июнь 2014г. по 0,4'!E94</f>
        <v>94</v>
      </c>
      <c r="F97" s="31">
        <f>'июнь 2014г. по 6-10'!F97+'июнь 2014г. по 0,4'!F94</f>
        <v>6</v>
      </c>
      <c r="G97" s="31">
        <f>'июнь 2014г. по 6-10'!G97+'июнь 2014г. по 0,4'!G94</f>
        <v>94</v>
      </c>
      <c r="H97" s="31">
        <f>'июнь 2014г. по 6-10'!H97+'июнь 2014г. по 0,4'!H94</f>
        <v>0</v>
      </c>
      <c r="I97" s="31">
        <f>'июнь 2014г. по 6-10'!I97+'июнь 2014г. по 0,4'!I94</f>
        <v>0</v>
      </c>
      <c r="J97" s="31">
        <f>'июнь 2014г. по 6-10'!J97+'июнь 2014г. по 0,4'!J94</f>
        <v>0</v>
      </c>
      <c r="K97" s="31">
        <f>'июнь 2014г. по 6-10'!K97+'июнь 2014г. по 0,4'!K94</f>
        <v>0</v>
      </c>
      <c r="L97" s="31">
        <f>'июнь 2014г. по 6-10'!L97+'июнь 2014г. по 0,4'!L94</f>
        <v>0</v>
      </c>
      <c r="M97" s="31">
        <f>'июнь 2014г. по 6-10'!M97+'июнь 2014г. по 0,4'!M94</f>
        <v>0</v>
      </c>
      <c r="N97" s="31">
        <f>'июнь 2014г. по 6-10'!N97+'июнь 2014г. по 0,4'!N94</f>
        <v>0</v>
      </c>
      <c r="O97" s="31">
        <f>'июнь 2014г. по 6-10'!O97+'июнь 2014г. по 0,4'!O94</f>
        <v>0</v>
      </c>
      <c r="P97" s="31">
        <f>'июнь 2014г. по 6-10'!P97+'июнь 2014г. по 0,4'!P94</f>
        <v>0</v>
      </c>
      <c r="Q97" s="31">
        <f>'июнь 2014г. по 6-10'!Q97+'июнь 2014г. по 0,4'!Q94</f>
        <v>0</v>
      </c>
    </row>
    <row r="98" spans="1:17" ht="12.75" customHeight="1" x14ac:dyDescent="0.2">
      <c r="A98" s="18"/>
      <c r="B98" s="53"/>
      <c r="C98" s="18" t="s">
        <v>357</v>
      </c>
      <c r="D98" s="31">
        <f>'июнь 2014г. по 6-10'!D98+'июнь 2014г. по 0,4'!D95</f>
        <v>2</v>
      </c>
      <c r="E98" s="31">
        <f>'июнь 2014г. по 6-10'!E98+'июнь 2014г. по 0,4'!E95</f>
        <v>25</v>
      </c>
      <c r="F98" s="31">
        <f>'июнь 2014г. по 6-10'!F98+'июнь 2014г. по 0,4'!F95</f>
        <v>2</v>
      </c>
      <c r="G98" s="31">
        <f>'июнь 2014г. по 6-10'!G98+'июнь 2014г. по 0,4'!G95</f>
        <v>25</v>
      </c>
      <c r="H98" s="31">
        <f>'июнь 2014г. по 6-10'!H98+'июнь 2014г. по 0,4'!H95</f>
        <v>0</v>
      </c>
      <c r="I98" s="31">
        <f>'июнь 2014г. по 6-10'!I98+'июнь 2014г. по 0,4'!I95</f>
        <v>0</v>
      </c>
      <c r="J98" s="31">
        <f>'июнь 2014г. по 6-10'!J98+'июнь 2014г. по 0,4'!J95</f>
        <v>0</v>
      </c>
      <c r="K98" s="31">
        <f>'июнь 2014г. по 6-10'!K98+'июнь 2014г. по 0,4'!K95</f>
        <v>0</v>
      </c>
      <c r="L98" s="31">
        <f>'июнь 2014г. по 6-10'!L98+'июнь 2014г. по 0,4'!L95</f>
        <v>0</v>
      </c>
      <c r="M98" s="31">
        <f>'июнь 2014г. по 6-10'!M98+'июнь 2014г. по 0,4'!M95</f>
        <v>0</v>
      </c>
      <c r="N98" s="31">
        <f>'июнь 2014г. по 6-10'!N98+'июнь 2014г. по 0,4'!N95</f>
        <v>0</v>
      </c>
      <c r="O98" s="31">
        <f>'июнь 2014г. по 6-10'!O98+'июнь 2014г. по 0,4'!O95</f>
        <v>0</v>
      </c>
      <c r="P98" s="31">
        <f>'июнь 2014г. по 6-10'!P98+'июнь 2014г. по 0,4'!P95</f>
        <v>0</v>
      </c>
      <c r="Q98" s="31">
        <f>'июнь 2014г. по 6-10'!Q98+'июнь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'июнь 2014г. по 6-10'!D99+'июнь 2014г. по 0,4'!D96</f>
        <v>4</v>
      </c>
      <c r="E99" s="31">
        <f>'июнь 2014г. по 6-10'!E99+'июнь 2014г. по 0,4'!E96</f>
        <v>33</v>
      </c>
      <c r="F99" s="31">
        <f>'июнь 2014г. по 6-10'!F99+'июнь 2014г. по 0,4'!F96</f>
        <v>4</v>
      </c>
      <c r="G99" s="31">
        <f>'июнь 2014г. по 6-10'!G99+'июнь 2014г. по 0,4'!G96</f>
        <v>33</v>
      </c>
      <c r="H99" s="31">
        <f>'июнь 2014г. по 6-10'!H99+'июнь 2014г. по 0,4'!H96</f>
        <v>0</v>
      </c>
      <c r="I99" s="31">
        <f>'июнь 2014г. по 6-10'!I99+'июнь 2014г. по 0,4'!I96</f>
        <v>0</v>
      </c>
      <c r="J99" s="31">
        <f>'июнь 2014г. по 6-10'!J99+'июнь 2014г. по 0,4'!J96</f>
        <v>1</v>
      </c>
      <c r="K99" s="31">
        <f>'июнь 2014г. по 6-10'!K99+'июнь 2014г. по 0,4'!K96</f>
        <v>6</v>
      </c>
      <c r="L99" s="31">
        <f>'июнь 2014г. по 6-10'!L99+'июнь 2014г. по 0,4'!L96</f>
        <v>0</v>
      </c>
      <c r="M99" s="31">
        <f>'июнь 2014г. по 6-10'!M99+'июнь 2014г. по 0,4'!M96</f>
        <v>0</v>
      </c>
      <c r="N99" s="31">
        <f>'июнь 2014г. по 6-10'!N99+'июнь 2014г. по 0,4'!N96</f>
        <v>0</v>
      </c>
      <c r="O99" s="31">
        <f>'июнь 2014г. по 6-10'!O99+'июнь 2014г. по 0,4'!O96</f>
        <v>0</v>
      </c>
      <c r="P99" s="31">
        <f>'июнь 2014г. по 6-10'!P99+'июнь 2014г. по 0,4'!P96</f>
        <v>0</v>
      </c>
      <c r="Q99" s="31">
        <f>'июнь 2014г. по 6-10'!Q99+'июнь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'июнь 2014г. по 6-10'!D100+'июнь 2014г. по 0,4'!D97</f>
        <v>1</v>
      </c>
      <c r="E100" s="31">
        <f>'июнь 2014г. по 6-10'!E100+'июнь 2014г. по 0,4'!E97</f>
        <v>7</v>
      </c>
      <c r="F100" s="31">
        <f>'июнь 2014г. по 6-10'!F100+'июнь 2014г. по 0,4'!F97</f>
        <v>1</v>
      </c>
      <c r="G100" s="31">
        <f>'июнь 2014г. по 6-10'!G100+'июнь 2014г. по 0,4'!G97</f>
        <v>7</v>
      </c>
      <c r="H100" s="31">
        <f>'июнь 2014г. по 6-10'!H100+'июнь 2014г. по 0,4'!H97</f>
        <v>0</v>
      </c>
      <c r="I100" s="31">
        <f>'июнь 2014г. по 6-10'!I100+'июнь 2014г. по 0,4'!I97</f>
        <v>0</v>
      </c>
      <c r="J100" s="31">
        <f>'июнь 2014г. по 6-10'!J100+'июнь 2014г. по 0,4'!J97</f>
        <v>0</v>
      </c>
      <c r="K100" s="31">
        <f>'июнь 2014г. по 6-10'!K100+'июнь 2014г. по 0,4'!K97</f>
        <v>0</v>
      </c>
      <c r="L100" s="31">
        <f>'июнь 2014г. по 6-10'!L100+'июнь 2014г. по 0,4'!L97</f>
        <v>0</v>
      </c>
      <c r="M100" s="31">
        <f>'июнь 2014г. по 6-10'!M100+'июнь 2014г. по 0,4'!M97</f>
        <v>0</v>
      </c>
      <c r="N100" s="31">
        <f>'июнь 2014г. по 6-10'!N100+'июнь 2014г. по 0,4'!N97</f>
        <v>0</v>
      </c>
      <c r="O100" s="31">
        <f>'июнь 2014г. по 6-10'!O100+'июнь 2014г. по 0,4'!O97</f>
        <v>0</v>
      </c>
      <c r="P100" s="31">
        <f>'июнь 2014г. по 6-10'!P100+'июнь 2014г. по 0,4'!P97</f>
        <v>0</v>
      </c>
      <c r="Q100" s="31">
        <f>'июнь 2014г. по 6-10'!Q100+'июнь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'июнь 2014г. по 6-10'!D101+'июнь 2014г. по 0,4'!D98</f>
        <v>3</v>
      </c>
      <c r="E101" s="31">
        <f>'июнь 2014г. по 6-10'!E101+'июнь 2014г. по 0,4'!E98</f>
        <v>360</v>
      </c>
      <c r="F101" s="31">
        <f>'июнь 2014г. по 6-10'!F101+'июнь 2014г. по 0,4'!F98</f>
        <v>3</v>
      </c>
      <c r="G101" s="31">
        <f>'июнь 2014г. по 6-10'!G101+'июнь 2014г. по 0,4'!G98</f>
        <v>360</v>
      </c>
      <c r="H101" s="31">
        <f>'июнь 2014г. по 6-10'!H101+'июнь 2014г. по 0,4'!H98</f>
        <v>0</v>
      </c>
      <c r="I101" s="31">
        <f>'июнь 2014г. по 6-10'!I101+'июнь 2014г. по 0,4'!I98</f>
        <v>0</v>
      </c>
      <c r="J101" s="31">
        <f>'июнь 2014г. по 6-10'!J101+'июнь 2014г. по 0,4'!J98</f>
        <v>0</v>
      </c>
      <c r="K101" s="31">
        <f>'июнь 2014г. по 6-10'!K101+'июнь 2014г. по 0,4'!K98</f>
        <v>0</v>
      </c>
      <c r="L101" s="31">
        <f>'июнь 2014г. по 6-10'!L101+'июнь 2014г. по 0,4'!L98</f>
        <v>0</v>
      </c>
      <c r="M101" s="31">
        <f>'июнь 2014г. по 6-10'!M101+'июнь 2014г. по 0,4'!M98</f>
        <v>0</v>
      </c>
      <c r="N101" s="31">
        <f>'июнь 2014г. по 6-10'!N101+'июнь 2014г. по 0,4'!N98</f>
        <v>0</v>
      </c>
      <c r="O101" s="31">
        <f>'июнь 2014г. по 6-10'!O101+'июнь 2014г. по 0,4'!O98</f>
        <v>0</v>
      </c>
      <c r="P101" s="31">
        <f>'июнь 2014г. по 6-10'!P101+'июнь 2014г. по 0,4'!P98</f>
        <v>0</v>
      </c>
      <c r="Q101" s="31">
        <f>'июнь 2014г. по 6-10'!Q101+'июнь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85">
        <f t="shared" ref="D102:Q102" si="1">SUM(D66:D101)</f>
        <v>169</v>
      </c>
      <c r="E102" s="85">
        <f t="shared" si="1"/>
        <v>3397.5</v>
      </c>
      <c r="F102" s="85">
        <f t="shared" si="1"/>
        <v>169</v>
      </c>
      <c r="G102" s="85">
        <f t="shared" si="1"/>
        <v>3397.5</v>
      </c>
      <c r="H102" s="85">
        <f t="shared" si="1"/>
        <v>0</v>
      </c>
      <c r="I102" s="85">
        <f t="shared" si="1"/>
        <v>0</v>
      </c>
      <c r="J102" s="85">
        <f t="shared" si="1"/>
        <v>14</v>
      </c>
      <c r="K102" s="85">
        <f t="shared" si="1"/>
        <v>130</v>
      </c>
      <c r="L102" s="85">
        <f t="shared" si="1"/>
        <v>0</v>
      </c>
      <c r="M102" s="85">
        <f t="shared" si="1"/>
        <v>0</v>
      </c>
      <c r="N102" s="85">
        <f t="shared" si="1"/>
        <v>0</v>
      </c>
      <c r="O102" s="85">
        <f t="shared" si="1"/>
        <v>0</v>
      </c>
      <c r="P102" s="85">
        <f t="shared" si="1"/>
        <v>0</v>
      </c>
      <c r="Q102" s="85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'июнь 2014г. по 6-10'!D104+'июнь 2014г. по 0,4'!D101</f>
        <v>26</v>
      </c>
      <c r="E104" s="31">
        <f>'июнь 2014г. по 6-10'!E104+'июнь 2014г. по 0,4'!E101</f>
        <v>1642</v>
      </c>
      <c r="F104" s="31">
        <f>'июнь 2014г. по 6-10'!F104+'июнь 2014г. по 0,4'!F101</f>
        <v>26</v>
      </c>
      <c r="G104" s="31">
        <f>'июнь 2014г. по 6-10'!G104+'июнь 2014г. по 0,4'!G101</f>
        <v>1642</v>
      </c>
      <c r="H104" s="31">
        <f>'июнь 2014г. по 6-10'!H104+'июнь 2014г. по 0,4'!H101</f>
        <v>0</v>
      </c>
      <c r="I104" s="31">
        <f>'июнь 2014г. по 6-10'!I104+'июнь 2014г. по 0,4'!I101</f>
        <v>0</v>
      </c>
      <c r="J104" s="31">
        <f>'июнь 2014г. по 6-10'!J104+'июнь 2014г. по 0,4'!J101</f>
        <v>0</v>
      </c>
      <c r="K104" s="31">
        <f>'июнь 2014г. по 6-10'!K104+'июнь 2014г. по 0,4'!K101</f>
        <v>0</v>
      </c>
      <c r="L104" s="31">
        <f>'июнь 2014г. по 6-10'!L104+'июнь 2014г. по 0,4'!L101</f>
        <v>0</v>
      </c>
      <c r="M104" s="31">
        <f>'июнь 2014г. по 6-10'!M104+'июнь 2014г. по 0,4'!M101</f>
        <v>0</v>
      </c>
      <c r="N104" s="31">
        <f>'июнь 2014г. по 6-10'!N104+'июнь 2014г. по 0,4'!N101</f>
        <v>0</v>
      </c>
      <c r="O104" s="31">
        <f>'июнь 2014г. по 6-10'!O104+'июнь 2014г. по 0,4'!O101</f>
        <v>0</v>
      </c>
      <c r="P104" s="31">
        <f>'июнь 2014г. по 6-10'!P104+'июнь 2014г. по 0,4'!P101</f>
        <v>0</v>
      </c>
      <c r="Q104" s="31">
        <f>'июнь 2014г. по 6-10'!Q104+'июнь 2014г. по 0,4'!Q101</f>
        <v>0</v>
      </c>
    </row>
    <row r="105" spans="1:17" x14ac:dyDescent="0.2">
      <c r="A105" s="18"/>
      <c r="B105" s="53"/>
      <c r="C105" s="50" t="s">
        <v>176</v>
      </c>
      <c r="D105" s="31">
        <f>'июнь 2014г. по 6-10'!D105+'июнь 2014г. по 0,4'!D102</f>
        <v>18</v>
      </c>
      <c r="E105" s="31">
        <f>'июнь 2014г. по 6-10'!E105+'июнь 2014г. по 0,4'!E102</f>
        <v>419</v>
      </c>
      <c r="F105" s="31">
        <f>'июнь 2014г. по 6-10'!F105+'июнь 2014г. по 0,4'!F102</f>
        <v>18</v>
      </c>
      <c r="G105" s="31">
        <f>'июнь 2014г. по 6-10'!G105+'июнь 2014г. по 0,4'!G102</f>
        <v>419</v>
      </c>
      <c r="H105" s="31">
        <f>'июнь 2014г. по 6-10'!H105+'июнь 2014г. по 0,4'!H102</f>
        <v>0</v>
      </c>
      <c r="I105" s="31">
        <f>'июнь 2014г. по 6-10'!I105+'июнь 2014г. по 0,4'!I102</f>
        <v>0</v>
      </c>
      <c r="J105" s="31">
        <f>'июнь 2014г. по 6-10'!J105+'июнь 2014г. по 0,4'!J102</f>
        <v>0</v>
      </c>
      <c r="K105" s="31">
        <f>'июнь 2014г. по 6-10'!K105+'июнь 2014г. по 0,4'!K102</f>
        <v>0</v>
      </c>
      <c r="L105" s="31">
        <f>'июнь 2014г. по 6-10'!L105+'июнь 2014г. по 0,4'!L102</f>
        <v>0</v>
      </c>
      <c r="M105" s="31">
        <f>'июнь 2014г. по 6-10'!M105+'июнь 2014г. по 0,4'!M102</f>
        <v>0</v>
      </c>
      <c r="N105" s="31">
        <f>'июнь 2014г. по 6-10'!N105+'июнь 2014г. по 0,4'!N102</f>
        <v>0</v>
      </c>
      <c r="O105" s="31">
        <f>'июнь 2014г. по 6-10'!O105+'июнь 2014г. по 0,4'!O102</f>
        <v>0</v>
      </c>
      <c r="P105" s="31">
        <f>'июнь 2014г. по 6-10'!P105+'июнь 2014г. по 0,4'!P102</f>
        <v>0</v>
      </c>
      <c r="Q105" s="31">
        <f>'июнь 2014г. по 6-10'!Q105+'июнь 2014г. по 0,4'!Q102</f>
        <v>0</v>
      </c>
    </row>
    <row r="106" spans="1:17" x14ac:dyDescent="0.2">
      <c r="A106" s="18"/>
      <c r="B106" s="53"/>
      <c r="C106" s="50" t="s">
        <v>177</v>
      </c>
      <c r="D106" s="31">
        <f>'июнь 2014г. по 6-10'!D106+'июнь 2014г. по 0,4'!D103</f>
        <v>4</v>
      </c>
      <c r="E106" s="31">
        <f>'июнь 2014г. по 6-10'!E106+'июнь 2014г. по 0,4'!E103</f>
        <v>37</v>
      </c>
      <c r="F106" s="31">
        <f>'июнь 2014г. по 6-10'!F106+'июнь 2014г. по 0,4'!F103</f>
        <v>4</v>
      </c>
      <c r="G106" s="31">
        <f>'июнь 2014г. по 6-10'!G106+'июнь 2014г. по 0,4'!G103</f>
        <v>37</v>
      </c>
      <c r="H106" s="31">
        <f>'июнь 2014г. по 6-10'!H106+'июнь 2014г. по 0,4'!H103</f>
        <v>0</v>
      </c>
      <c r="I106" s="31">
        <f>'июнь 2014г. по 6-10'!I106+'июнь 2014г. по 0,4'!I103</f>
        <v>0</v>
      </c>
      <c r="J106" s="31">
        <f>'июнь 2014г. по 6-10'!J106+'июнь 2014г. по 0,4'!J103</f>
        <v>0</v>
      </c>
      <c r="K106" s="31">
        <f>'июнь 2014г. по 6-10'!K106+'июнь 2014г. по 0,4'!K103</f>
        <v>0</v>
      </c>
      <c r="L106" s="31">
        <f>'июнь 2014г. по 6-10'!L106+'июнь 2014г. по 0,4'!L103</f>
        <v>0</v>
      </c>
      <c r="M106" s="31">
        <f>'июнь 2014г. по 6-10'!M106+'июнь 2014г. по 0,4'!M103</f>
        <v>0</v>
      </c>
      <c r="N106" s="31">
        <f>'июнь 2014г. по 6-10'!N106+'июнь 2014г. по 0,4'!N103</f>
        <v>0</v>
      </c>
      <c r="O106" s="31">
        <f>'июнь 2014г. по 6-10'!O106+'июнь 2014г. по 0,4'!O103</f>
        <v>0</v>
      </c>
      <c r="P106" s="31">
        <f>'июнь 2014г. по 6-10'!P106+'июнь 2014г. по 0,4'!P103</f>
        <v>0</v>
      </c>
      <c r="Q106" s="31">
        <f>'июнь 2014г. по 6-10'!Q106+'июнь 2014г. по 0,4'!Q103</f>
        <v>0</v>
      </c>
    </row>
    <row r="107" spans="1:17" x14ac:dyDescent="0.2">
      <c r="A107" s="18"/>
      <c r="B107" s="53"/>
      <c r="C107" s="50" t="s">
        <v>178</v>
      </c>
      <c r="D107" s="31">
        <f>'июнь 2014г. по 6-10'!D107+'июнь 2014г. по 0,4'!D104</f>
        <v>22</v>
      </c>
      <c r="E107" s="31">
        <f>'июнь 2014г. по 6-10'!E107+'июнь 2014г. по 0,4'!E104</f>
        <v>1043</v>
      </c>
      <c r="F107" s="31">
        <f>'июнь 2014г. по 6-10'!F107+'июнь 2014г. по 0,4'!F104</f>
        <v>22</v>
      </c>
      <c r="G107" s="31">
        <f>'июнь 2014г. по 6-10'!G107+'июнь 2014г. по 0,4'!G104</f>
        <v>1043</v>
      </c>
      <c r="H107" s="31">
        <f>'июнь 2014г. по 6-10'!H107+'июнь 2014г. по 0,4'!H104</f>
        <v>0</v>
      </c>
      <c r="I107" s="31">
        <f>'июнь 2014г. по 6-10'!I107+'июнь 2014г. по 0,4'!I104</f>
        <v>0</v>
      </c>
      <c r="J107" s="31">
        <f>'июнь 2014г. по 6-10'!J107+'июнь 2014г. по 0,4'!J104</f>
        <v>2</v>
      </c>
      <c r="K107" s="31">
        <f>'июнь 2014г. по 6-10'!K107+'июнь 2014г. по 0,4'!K104</f>
        <v>10</v>
      </c>
      <c r="L107" s="31">
        <f>'июнь 2014г. по 6-10'!L107+'июнь 2014г. по 0,4'!L104</f>
        <v>0</v>
      </c>
      <c r="M107" s="31">
        <f>'июнь 2014г. по 6-10'!M107+'июнь 2014г. по 0,4'!M104</f>
        <v>0</v>
      </c>
      <c r="N107" s="31">
        <f>'июнь 2014г. по 6-10'!N107+'июнь 2014г. по 0,4'!N104</f>
        <v>0</v>
      </c>
      <c r="O107" s="31">
        <f>'июнь 2014г. по 6-10'!O107+'июнь 2014г. по 0,4'!O104</f>
        <v>0</v>
      </c>
      <c r="P107" s="31">
        <f>'июнь 2014г. по 6-10'!P107+'июнь 2014г. по 0,4'!P104</f>
        <v>0</v>
      </c>
      <c r="Q107" s="31">
        <f>'июнь 2014г. по 6-10'!Q107+'июнь 2014г. по 0,4'!Q104</f>
        <v>0</v>
      </c>
    </row>
    <row r="108" spans="1:17" x14ac:dyDescent="0.2">
      <c r="A108" s="18"/>
      <c r="B108" s="53"/>
      <c r="C108" s="50" t="s">
        <v>179</v>
      </c>
      <c r="D108" s="31">
        <f>'июнь 2014г. по 6-10'!D108+'июнь 2014г. по 0,4'!D105</f>
        <v>9</v>
      </c>
      <c r="E108" s="31">
        <f>'июнь 2014г. по 6-10'!E108+'июнь 2014г. по 0,4'!E105</f>
        <v>164</v>
      </c>
      <c r="F108" s="31">
        <f>'июнь 2014г. по 6-10'!F108+'июнь 2014г. по 0,4'!F105</f>
        <v>9</v>
      </c>
      <c r="G108" s="31">
        <f>'июнь 2014г. по 6-10'!G108+'июнь 2014г. по 0,4'!G105</f>
        <v>164</v>
      </c>
      <c r="H108" s="31">
        <f>'июнь 2014г. по 6-10'!H108+'июнь 2014г. по 0,4'!H105</f>
        <v>0</v>
      </c>
      <c r="I108" s="31">
        <f>'июнь 2014г. по 6-10'!I108+'июнь 2014г. по 0,4'!I105</f>
        <v>0</v>
      </c>
      <c r="J108" s="31">
        <f>'июнь 2014г. по 6-10'!J108+'июнь 2014г. по 0,4'!J105</f>
        <v>1</v>
      </c>
      <c r="K108" s="31">
        <f>'июнь 2014г. по 6-10'!K108+'июнь 2014г. по 0,4'!K105</f>
        <v>10</v>
      </c>
      <c r="L108" s="31">
        <f>'июнь 2014г. по 6-10'!L108+'июнь 2014г. по 0,4'!L105</f>
        <v>0</v>
      </c>
      <c r="M108" s="31">
        <f>'июнь 2014г. по 6-10'!M108+'июнь 2014г. по 0,4'!M105</f>
        <v>0</v>
      </c>
      <c r="N108" s="31">
        <f>'июнь 2014г. по 6-10'!N108+'июнь 2014г. по 0,4'!N105</f>
        <v>0</v>
      </c>
      <c r="O108" s="31">
        <f>'июнь 2014г. по 6-10'!O108+'июнь 2014г. по 0,4'!O105</f>
        <v>0</v>
      </c>
      <c r="P108" s="31">
        <f>'июнь 2014г. по 6-10'!P108+'июнь 2014г. по 0,4'!P105</f>
        <v>0</v>
      </c>
      <c r="Q108" s="31">
        <f>'июнь 2014г. по 6-10'!Q108+'июнь 2014г. по 0,4'!Q105</f>
        <v>0</v>
      </c>
    </row>
    <row r="109" spans="1:17" x14ac:dyDescent="0.2">
      <c r="A109" s="18"/>
      <c r="B109" s="53"/>
      <c r="C109" s="50" t="s">
        <v>180</v>
      </c>
      <c r="D109" s="31">
        <f>'июнь 2014г. по 6-10'!D109+'июнь 2014г. по 0,4'!D106</f>
        <v>9</v>
      </c>
      <c r="E109" s="31">
        <f>'июнь 2014г. по 6-10'!E109+'июнь 2014г. по 0,4'!E106</f>
        <v>191.5</v>
      </c>
      <c r="F109" s="31">
        <f>'июнь 2014г. по 6-10'!F109+'июнь 2014г. по 0,4'!F106</f>
        <v>9</v>
      </c>
      <c r="G109" s="31">
        <f>'июнь 2014г. по 6-10'!G109+'июнь 2014г. по 0,4'!G106</f>
        <v>191.5</v>
      </c>
      <c r="H109" s="31">
        <f>'июнь 2014г. по 6-10'!H109+'июнь 2014г. по 0,4'!H106</f>
        <v>0</v>
      </c>
      <c r="I109" s="31">
        <f>'июнь 2014г. по 6-10'!I109+'июнь 2014г. по 0,4'!I106</f>
        <v>0</v>
      </c>
      <c r="J109" s="31">
        <f>'июнь 2014г. по 6-10'!J109+'июнь 2014г. по 0,4'!J106</f>
        <v>0</v>
      </c>
      <c r="K109" s="31">
        <f>'июнь 2014г. по 6-10'!K109+'июнь 2014г. по 0,4'!K106</f>
        <v>0</v>
      </c>
      <c r="L109" s="31">
        <f>'июнь 2014г. по 6-10'!L109+'июнь 2014г. по 0,4'!L106</f>
        <v>0</v>
      </c>
      <c r="M109" s="31">
        <f>'июнь 2014г. по 6-10'!M109+'июнь 2014г. по 0,4'!M106</f>
        <v>0</v>
      </c>
      <c r="N109" s="31">
        <f>'июнь 2014г. по 6-10'!N109+'июнь 2014г. по 0,4'!N106</f>
        <v>0</v>
      </c>
      <c r="O109" s="31">
        <f>'июнь 2014г. по 6-10'!O109+'июнь 2014г. по 0,4'!O106</f>
        <v>0</v>
      </c>
      <c r="P109" s="31">
        <f>'июнь 2014г. по 6-10'!P109+'июнь 2014г. по 0,4'!P106</f>
        <v>0</v>
      </c>
      <c r="Q109" s="31">
        <f>'июнь 2014г. по 6-10'!Q109+'июнь 2014г. по 0,4'!Q106</f>
        <v>0</v>
      </c>
    </row>
    <row r="110" spans="1:17" x14ac:dyDescent="0.2">
      <c r="A110" s="18"/>
      <c r="B110" s="53"/>
      <c r="C110" s="50" t="s">
        <v>181</v>
      </c>
      <c r="D110" s="31">
        <f>'июнь 2014г. по 6-10'!D110+'июнь 2014г. по 0,4'!D107</f>
        <v>8</v>
      </c>
      <c r="E110" s="31">
        <f>'июнь 2014г. по 6-10'!E110+'июнь 2014г. по 0,4'!E107</f>
        <v>95</v>
      </c>
      <c r="F110" s="31">
        <f>'июнь 2014г. по 6-10'!F110+'июнь 2014г. по 0,4'!F107</f>
        <v>8</v>
      </c>
      <c r="G110" s="31">
        <f>'июнь 2014г. по 6-10'!G110+'июнь 2014г. по 0,4'!G107</f>
        <v>95</v>
      </c>
      <c r="H110" s="31">
        <f>'июнь 2014г. по 6-10'!H110+'июнь 2014г. по 0,4'!H107</f>
        <v>0</v>
      </c>
      <c r="I110" s="31">
        <f>'июнь 2014г. по 6-10'!I110+'июнь 2014г. по 0,4'!I107</f>
        <v>0</v>
      </c>
      <c r="J110" s="31">
        <f>'июнь 2014г. по 6-10'!J110+'июнь 2014г. по 0,4'!J107</f>
        <v>0</v>
      </c>
      <c r="K110" s="31">
        <f>'июнь 2014г. по 6-10'!K110+'июнь 2014г. по 0,4'!K107</f>
        <v>0</v>
      </c>
      <c r="L110" s="31">
        <f>'июнь 2014г. по 6-10'!L110+'июнь 2014г. по 0,4'!L107</f>
        <v>0</v>
      </c>
      <c r="M110" s="31">
        <f>'июнь 2014г. по 6-10'!M110+'июнь 2014г. по 0,4'!M107</f>
        <v>0</v>
      </c>
      <c r="N110" s="31">
        <f>'июнь 2014г. по 6-10'!N110+'июнь 2014г. по 0,4'!N107</f>
        <v>0</v>
      </c>
      <c r="O110" s="31">
        <f>'июнь 2014г. по 6-10'!O110+'июнь 2014г. по 0,4'!O107</f>
        <v>0</v>
      </c>
      <c r="P110" s="31">
        <f>'июнь 2014г. по 6-10'!P110+'июнь 2014г. по 0,4'!P107</f>
        <v>0</v>
      </c>
      <c r="Q110" s="31">
        <f>'июнь 2014г. по 6-10'!Q110+'июнь 2014г. по 0,4'!Q107</f>
        <v>0</v>
      </c>
    </row>
    <row r="111" spans="1:17" x14ac:dyDescent="0.2">
      <c r="A111" s="18"/>
      <c r="B111" s="53"/>
      <c r="C111" s="50" t="s">
        <v>182</v>
      </c>
      <c r="D111" s="31">
        <f>'июнь 2014г. по 6-10'!D111+'июнь 2014г. по 0,4'!D108</f>
        <v>25</v>
      </c>
      <c r="E111" s="31">
        <f>'июнь 2014г. по 6-10'!E111+'июнь 2014г. по 0,4'!E108</f>
        <v>333</v>
      </c>
      <c r="F111" s="31">
        <f>'июнь 2014г. по 6-10'!F111+'июнь 2014г. по 0,4'!F108</f>
        <v>25</v>
      </c>
      <c r="G111" s="31">
        <f>'июнь 2014г. по 6-10'!G111+'июнь 2014г. по 0,4'!G108</f>
        <v>333</v>
      </c>
      <c r="H111" s="31">
        <f>'июнь 2014г. по 6-10'!H111+'июнь 2014г. по 0,4'!H108</f>
        <v>0</v>
      </c>
      <c r="I111" s="31">
        <f>'июнь 2014г. по 6-10'!I111+'июнь 2014г. по 0,4'!I108</f>
        <v>0</v>
      </c>
      <c r="J111" s="31">
        <f>'июнь 2014г. по 6-10'!J111+'июнь 2014г. по 0,4'!J108</f>
        <v>2</v>
      </c>
      <c r="K111" s="31">
        <f>'июнь 2014г. по 6-10'!K111+'июнь 2014г. по 0,4'!K108</f>
        <v>15</v>
      </c>
      <c r="L111" s="31">
        <f>'июнь 2014г. по 6-10'!L111+'июнь 2014г. по 0,4'!L108</f>
        <v>0</v>
      </c>
      <c r="M111" s="31">
        <f>'июнь 2014г. по 6-10'!M111+'июнь 2014г. по 0,4'!M108</f>
        <v>0</v>
      </c>
      <c r="N111" s="31">
        <f>'июнь 2014г. по 6-10'!N111+'июнь 2014г. по 0,4'!N108</f>
        <v>0</v>
      </c>
      <c r="O111" s="31">
        <f>'июнь 2014г. по 6-10'!O111+'июнь 2014г. по 0,4'!O108</f>
        <v>0</v>
      </c>
      <c r="P111" s="31">
        <f>'июнь 2014г. по 6-10'!P111+'июнь 2014г. по 0,4'!P108</f>
        <v>0</v>
      </c>
      <c r="Q111" s="31">
        <f>'июнь 2014г. по 6-10'!Q111+'июнь 2014г. по 0,4'!Q108</f>
        <v>0</v>
      </c>
    </row>
    <row r="112" spans="1:17" x14ac:dyDescent="0.2">
      <c r="A112" s="18"/>
      <c r="B112" s="53"/>
      <c r="C112" s="50" t="s">
        <v>183</v>
      </c>
      <c r="D112" s="31">
        <f>'июнь 2014г. по 6-10'!D112+'июнь 2014г. по 0,4'!D109</f>
        <v>9</v>
      </c>
      <c r="E112" s="31">
        <f>'июнь 2014г. по 6-10'!E112+'июнь 2014г. по 0,4'!E109</f>
        <v>57</v>
      </c>
      <c r="F112" s="31">
        <f>'июнь 2014г. по 6-10'!F112+'июнь 2014г. по 0,4'!F109</f>
        <v>9</v>
      </c>
      <c r="G112" s="31">
        <f>'июнь 2014г. по 6-10'!G112+'июнь 2014г. по 0,4'!G109</f>
        <v>57</v>
      </c>
      <c r="H112" s="31">
        <f>'июнь 2014г. по 6-10'!H112+'июнь 2014г. по 0,4'!H109</f>
        <v>0</v>
      </c>
      <c r="I112" s="31">
        <f>'июнь 2014г. по 6-10'!I112+'июнь 2014г. по 0,4'!I109</f>
        <v>0</v>
      </c>
      <c r="J112" s="31">
        <f>'июнь 2014г. по 6-10'!J112+'июнь 2014г. по 0,4'!J109</f>
        <v>1</v>
      </c>
      <c r="K112" s="31">
        <f>'июнь 2014г. по 6-10'!K112+'июнь 2014г. по 0,4'!K109</f>
        <v>6</v>
      </c>
      <c r="L112" s="31">
        <f>'июнь 2014г. по 6-10'!L112+'июнь 2014г. по 0,4'!L109</f>
        <v>0</v>
      </c>
      <c r="M112" s="31">
        <f>'июнь 2014г. по 6-10'!M112+'июнь 2014г. по 0,4'!M109</f>
        <v>0</v>
      </c>
      <c r="N112" s="31">
        <f>'июнь 2014г. по 6-10'!N112+'июнь 2014г. по 0,4'!N109</f>
        <v>0</v>
      </c>
      <c r="O112" s="31">
        <f>'июнь 2014г. по 6-10'!O112+'июнь 2014г. по 0,4'!O109</f>
        <v>0</v>
      </c>
      <c r="P112" s="31">
        <f>'июнь 2014г. по 6-10'!P112+'июнь 2014г. по 0,4'!P109</f>
        <v>0</v>
      </c>
      <c r="Q112" s="31">
        <f>'июнь 2014г. по 6-10'!Q112+'июнь 2014г. по 0,4'!Q109</f>
        <v>0</v>
      </c>
    </row>
    <row r="113" spans="1:17" x14ac:dyDescent="0.2">
      <c r="A113" s="18"/>
      <c r="B113" s="53"/>
      <c r="C113" s="50" t="s">
        <v>184</v>
      </c>
      <c r="D113" s="31">
        <f>'июнь 2014г. по 6-10'!D113+'июнь 2014г. по 0,4'!D110</f>
        <v>3</v>
      </c>
      <c r="E113" s="31">
        <f>'июнь 2014г. по 6-10'!E113+'июнь 2014г. по 0,4'!E110</f>
        <v>5.4</v>
      </c>
      <c r="F113" s="31">
        <f>'июнь 2014г. по 6-10'!F113+'июнь 2014г. по 0,4'!F110</f>
        <v>3</v>
      </c>
      <c r="G113" s="31">
        <f>'июнь 2014г. по 6-10'!G113+'июнь 2014г. по 0,4'!G110</f>
        <v>5.4</v>
      </c>
      <c r="H113" s="31">
        <f>'июнь 2014г. по 6-10'!H113+'июнь 2014г. по 0,4'!H110</f>
        <v>0</v>
      </c>
      <c r="I113" s="31">
        <f>'июнь 2014г. по 6-10'!I113+'июнь 2014г. по 0,4'!I110</f>
        <v>0</v>
      </c>
      <c r="J113" s="31">
        <f>'июнь 2014г. по 6-10'!J113+'июнь 2014г. по 0,4'!J110</f>
        <v>0</v>
      </c>
      <c r="K113" s="31">
        <f>'июнь 2014г. по 6-10'!K113+'июнь 2014г. по 0,4'!K110</f>
        <v>0</v>
      </c>
      <c r="L113" s="31">
        <f>'июнь 2014г. по 6-10'!L113+'июнь 2014г. по 0,4'!L110</f>
        <v>0</v>
      </c>
      <c r="M113" s="31">
        <f>'июнь 2014г. по 6-10'!M113+'июнь 2014г. по 0,4'!M110</f>
        <v>0</v>
      </c>
      <c r="N113" s="31">
        <f>'июнь 2014г. по 6-10'!N113+'июнь 2014г. по 0,4'!N110</f>
        <v>0</v>
      </c>
      <c r="O113" s="31">
        <f>'июнь 2014г. по 6-10'!O113+'июнь 2014г. по 0,4'!O110</f>
        <v>0</v>
      </c>
      <c r="P113" s="31">
        <f>'июнь 2014г. по 6-10'!P113+'июнь 2014г. по 0,4'!P110</f>
        <v>0</v>
      </c>
      <c r="Q113" s="31">
        <f>'июнь 2014г. по 6-10'!Q113+'июнь 2014г. по 0,4'!Q110</f>
        <v>0</v>
      </c>
    </row>
    <row r="114" spans="1:17" x14ac:dyDescent="0.2">
      <c r="A114" s="18"/>
      <c r="B114" s="53"/>
      <c r="C114" s="50" t="s">
        <v>185</v>
      </c>
      <c r="D114" s="31">
        <f>'июнь 2014г. по 6-10'!D114+'июнь 2014г. по 0,4'!D111</f>
        <v>7</v>
      </c>
      <c r="E114" s="31">
        <f>'июнь 2014г. по 6-10'!E114+'июнь 2014г. по 0,4'!E111</f>
        <v>673.5</v>
      </c>
      <c r="F114" s="31">
        <f>'июнь 2014г. по 6-10'!F114+'июнь 2014г. по 0,4'!F111</f>
        <v>7</v>
      </c>
      <c r="G114" s="31">
        <f>'июнь 2014г. по 6-10'!G114+'июнь 2014г. по 0,4'!G111</f>
        <v>673.5</v>
      </c>
      <c r="H114" s="31">
        <f>'июнь 2014г. по 6-10'!H114+'июнь 2014г. по 0,4'!H111</f>
        <v>0</v>
      </c>
      <c r="I114" s="31">
        <f>'июнь 2014г. по 6-10'!I114+'июнь 2014г. по 0,4'!I111</f>
        <v>0</v>
      </c>
      <c r="J114" s="31">
        <f>'июнь 2014г. по 6-10'!J114+'июнь 2014г. по 0,4'!J111</f>
        <v>0</v>
      </c>
      <c r="K114" s="31">
        <f>'июнь 2014г. по 6-10'!K114+'июнь 2014г. по 0,4'!K111</f>
        <v>0</v>
      </c>
      <c r="L114" s="31">
        <f>'июнь 2014г. по 6-10'!L114+'июнь 2014г. по 0,4'!L111</f>
        <v>0</v>
      </c>
      <c r="M114" s="31">
        <f>'июнь 2014г. по 6-10'!M114+'июнь 2014г. по 0,4'!M111</f>
        <v>0</v>
      </c>
      <c r="N114" s="31">
        <f>'июнь 2014г. по 6-10'!N114+'июнь 2014г. по 0,4'!N111</f>
        <v>0</v>
      </c>
      <c r="O114" s="31">
        <f>'июнь 2014г. по 6-10'!O114+'июнь 2014г. по 0,4'!O111</f>
        <v>0</v>
      </c>
      <c r="P114" s="31">
        <f>'июнь 2014г. по 6-10'!P114+'июнь 2014г. по 0,4'!P111</f>
        <v>0</v>
      </c>
      <c r="Q114" s="31">
        <f>'июнь 2014г. по 6-10'!Q114+'июнь 2014г. по 0,4'!Q111</f>
        <v>0</v>
      </c>
    </row>
    <row r="115" spans="1:17" x14ac:dyDescent="0.2">
      <c r="A115" s="18"/>
      <c r="B115" s="53"/>
      <c r="C115" s="50" t="s">
        <v>186</v>
      </c>
      <c r="D115" s="31">
        <f>'июнь 2014г. по 6-10'!D115+'июнь 2014г. по 0,4'!D112</f>
        <v>1</v>
      </c>
      <c r="E115" s="31">
        <f>'июнь 2014г. по 6-10'!E115+'июнь 2014г. по 0,4'!E112</f>
        <v>4.4000000000000004</v>
      </c>
      <c r="F115" s="31">
        <f>'июнь 2014г. по 6-10'!F115+'июнь 2014г. по 0,4'!F112</f>
        <v>1</v>
      </c>
      <c r="G115" s="31">
        <f>'июнь 2014г. по 6-10'!G115+'июнь 2014г. по 0,4'!G112</f>
        <v>4.4000000000000004</v>
      </c>
      <c r="H115" s="31">
        <f>'июнь 2014г. по 6-10'!H115+'июнь 2014г. по 0,4'!H112</f>
        <v>0</v>
      </c>
      <c r="I115" s="31">
        <f>'июнь 2014г. по 6-10'!I115+'июнь 2014г. по 0,4'!I112</f>
        <v>0</v>
      </c>
      <c r="J115" s="31">
        <f>'июнь 2014г. по 6-10'!J115+'июнь 2014г. по 0,4'!J112</f>
        <v>0</v>
      </c>
      <c r="K115" s="31">
        <f>'июнь 2014г. по 6-10'!K115+'июнь 2014г. по 0,4'!K112</f>
        <v>0</v>
      </c>
      <c r="L115" s="31">
        <f>'июнь 2014г. по 6-10'!L115+'июнь 2014г. по 0,4'!L112</f>
        <v>0</v>
      </c>
      <c r="M115" s="31">
        <f>'июнь 2014г. по 6-10'!M115+'июнь 2014г. по 0,4'!M112</f>
        <v>0</v>
      </c>
      <c r="N115" s="31">
        <f>'июнь 2014г. по 6-10'!N115+'июнь 2014г. по 0,4'!N112</f>
        <v>0</v>
      </c>
      <c r="O115" s="31">
        <f>'июнь 2014г. по 6-10'!O115+'июнь 2014г. по 0,4'!O112</f>
        <v>0</v>
      </c>
      <c r="P115" s="31">
        <f>'июнь 2014г. по 6-10'!P115+'июнь 2014г. по 0,4'!P112</f>
        <v>0</v>
      </c>
      <c r="Q115" s="31">
        <f>'июнь 2014г. по 6-10'!Q115+'июнь 2014г. по 0,4'!Q112</f>
        <v>0</v>
      </c>
    </row>
    <row r="116" spans="1:17" x14ac:dyDescent="0.2">
      <c r="A116" s="18"/>
      <c r="B116" s="53"/>
      <c r="C116" s="50" t="s">
        <v>187</v>
      </c>
      <c r="D116" s="31">
        <f>'июнь 2014г. по 6-10'!D116+'июнь 2014г. по 0,4'!D113</f>
        <v>0</v>
      </c>
      <c r="E116" s="31">
        <f>'июнь 2014г. по 6-10'!E116+'июнь 2014г. по 0,4'!E113</f>
        <v>0</v>
      </c>
      <c r="F116" s="31">
        <f>'июнь 2014г. по 6-10'!F116+'июнь 2014г. по 0,4'!F113</f>
        <v>0</v>
      </c>
      <c r="G116" s="31">
        <f>'июнь 2014г. по 6-10'!G116+'июнь 2014г. по 0,4'!G113</f>
        <v>0</v>
      </c>
      <c r="H116" s="31">
        <f>'июнь 2014г. по 6-10'!H116+'июнь 2014г. по 0,4'!H113</f>
        <v>0</v>
      </c>
      <c r="I116" s="31">
        <f>'июнь 2014г. по 6-10'!I116+'июнь 2014г. по 0,4'!I113</f>
        <v>0</v>
      </c>
      <c r="J116" s="31">
        <f>'июнь 2014г. по 6-10'!J116+'июнь 2014г. по 0,4'!J113</f>
        <v>0</v>
      </c>
      <c r="K116" s="31">
        <f>'июнь 2014г. по 6-10'!K116+'июнь 2014г. по 0,4'!K113</f>
        <v>0</v>
      </c>
      <c r="L116" s="31">
        <f>'июнь 2014г. по 6-10'!L116+'июнь 2014г. по 0,4'!L113</f>
        <v>0</v>
      </c>
      <c r="M116" s="31">
        <f>'июнь 2014г. по 6-10'!M116+'июнь 2014г. по 0,4'!M113</f>
        <v>0</v>
      </c>
      <c r="N116" s="31">
        <f>'июнь 2014г. по 6-10'!N116+'июнь 2014г. по 0,4'!N113</f>
        <v>0</v>
      </c>
      <c r="O116" s="31">
        <f>'июнь 2014г. по 6-10'!O116+'июнь 2014г. по 0,4'!O113</f>
        <v>0</v>
      </c>
      <c r="P116" s="31">
        <f>'июнь 2014г. по 6-10'!P116+'июнь 2014г. по 0,4'!P113</f>
        <v>0</v>
      </c>
      <c r="Q116" s="31">
        <f>'июнь 2014г. по 6-10'!Q116+'июнь 2014г. по 0,4'!Q113</f>
        <v>0</v>
      </c>
    </row>
    <row r="117" spans="1:17" x14ac:dyDescent="0.2">
      <c r="A117" s="18"/>
      <c r="B117" s="53"/>
      <c r="C117" s="50" t="s">
        <v>188</v>
      </c>
      <c r="D117" s="31">
        <f>'июнь 2014г. по 6-10'!D117+'июнь 2014г. по 0,4'!D114</f>
        <v>19</v>
      </c>
      <c r="E117" s="31">
        <f>'июнь 2014г. по 6-10'!E117+'июнь 2014г. по 0,4'!E114</f>
        <v>1819.8</v>
      </c>
      <c r="F117" s="31">
        <f>'июнь 2014г. по 6-10'!F117+'июнь 2014г. по 0,4'!F114</f>
        <v>19</v>
      </c>
      <c r="G117" s="31">
        <f>'июнь 2014г. по 6-10'!G117+'июнь 2014г. по 0,4'!G114</f>
        <v>1819.8</v>
      </c>
      <c r="H117" s="31">
        <f>'июнь 2014г. по 6-10'!H117+'июнь 2014г. по 0,4'!H114</f>
        <v>0</v>
      </c>
      <c r="I117" s="31">
        <f>'июнь 2014г. по 6-10'!I117+'июнь 2014г. по 0,4'!I114</f>
        <v>0</v>
      </c>
      <c r="J117" s="31">
        <f>'июнь 2014г. по 6-10'!J117+'июнь 2014г. по 0,4'!J114</f>
        <v>1</v>
      </c>
      <c r="K117" s="31">
        <f>'июнь 2014г. по 6-10'!K117+'июнь 2014г. по 0,4'!K114</f>
        <v>15</v>
      </c>
      <c r="L117" s="31">
        <f>'июнь 2014г. по 6-10'!L117+'июнь 2014г. по 0,4'!L114</f>
        <v>0</v>
      </c>
      <c r="M117" s="31">
        <f>'июнь 2014г. по 6-10'!M117+'июнь 2014г. по 0,4'!M114</f>
        <v>0</v>
      </c>
      <c r="N117" s="31">
        <f>'июнь 2014г. по 6-10'!N117+'июнь 2014г. по 0,4'!N114</f>
        <v>0</v>
      </c>
      <c r="O117" s="31">
        <f>'июнь 2014г. по 6-10'!O117+'июнь 2014г. по 0,4'!O114</f>
        <v>0</v>
      </c>
      <c r="P117" s="31">
        <f>'июнь 2014г. по 6-10'!P117+'июнь 2014г. по 0,4'!P114</f>
        <v>0</v>
      </c>
      <c r="Q117" s="31">
        <f>'июнь 2014г. по 6-10'!Q117+'июнь 2014г. по 0,4'!Q114</f>
        <v>0</v>
      </c>
    </row>
    <row r="118" spans="1:17" x14ac:dyDescent="0.2">
      <c r="A118" s="18"/>
      <c r="B118" s="53"/>
      <c r="C118" s="50" t="s">
        <v>189</v>
      </c>
      <c r="D118" s="31">
        <f>'июнь 2014г. по 6-10'!D118+'июнь 2014г. по 0,4'!D115</f>
        <v>6</v>
      </c>
      <c r="E118" s="31">
        <f>'июнь 2014г. по 6-10'!E118+'июнь 2014г. по 0,4'!E115</f>
        <v>1134</v>
      </c>
      <c r="F118" s="31">
        <f>'июнь 2014г. по 6-10'!F118+'июнь 2014г. по 0,4'!F115</f>
        <v>6</v>
      </c>
      <c r="G118" s="31">
        <f>'июнь 2014г. по 6-10'!G118+'июнь 2014г. по 0,4'!G115</f>
        <v>1134</v>
      </c>
      <c r="H118" s="31">
        <f>'июнь 2014г. по 6-10'!H118+'июнь 2014г. по 0,4'!H115</f>
        <v>0</v>
      </c>
      <c r="I118" s="31">
        <f>'июнь 2014г. по 6-10'!I118+'июнь 2014г. по 0,4'!I115</f>
        <v>0</v>
      </c>
      <c r="J118" s="31">
        <f>'июнь 2014г. по 6-10'!J118+'июнь 2014г. по 0,4'!J115</f>
        <v>0</v>
      </c>
      <c r="K118" s="31">
        <f>'июнь 2014г. по 6-10'!K118+'июнь 2014г. по 0,4'!K115</f>
        <v>0</v>
      </c>
      <c r="L118" s="31">
        <f>'июнь 2014г. по 6-10'!L118+'июнь 2014г. по 0,4'!L115</f>
        <v>0</v>
      </c>
      <c r="M118" s="31">
        <f>'июнь 2014г. по 6-10'!M118+'июнь 2014г. по 0,4'!M115</f>
        <v>0</v>
      </c>
      <c r="N118" s="31">
        <f>'июнь 2014г. по 6-10'!N118+'июнь 2014г. по 0,4'!N115</f>
        <v>0</v>
      </c>
      <c r="O118" s="31">
        <f>'июнь 2014г. по 6-10'!O118+'июнь 2014г. по 0,4'!O115</f>
        <v>0</v>
      </c>
      <c r="P118" s="31">
        <f>'июнь 2014г. по 6-10'!P118+'июнь 2014г. по 0,4'!P115</f>
        <v>0</v>
      </c>
      <c r="Q118" s="31">
        <f>'июнь 2014г. по 6-10'!Q118+'июнь 2014г. по 0,4'!Q115</f>
        <v>0</v>
      </c>
    </row>
    <row r="119" spans="1:17" x14ac:dyDescent="0.2">
      <c r="A119" s="18"/>
      <c r="B119" s="53"/>
      <c r="C119" s="50" t="s">
        <v>190</v>
      </c>
      <c r="D119" s="31">
        <f>'июнь 2014г. по 6-10'!D119+'июнь 2014г. по 0,4'!D116</f>
        <v>4</v>
      </c>
      <c r="E119" s="31">
        <f>'июнь 2014г. по 6-10'!E119+'июнь 2014г. по 0,4'!E116</f>
        <v>233</v>
      </c>
      <c r="F119" s="31">
        <f>'июнь 2014г. по 6-10'!F119+'июнь 2014г. по 0,4'!F116</f>
        <v>4</v>
      </c>
      <c r="G119" s="31">
        <f>'июнь 2014г. по 6-10'!G119+'июнь 2014г. по 0,4'!G116</f>
        <v>233</v>
      </c>
      <c r="H119" s="31">
        <f>'июнь 2014г. по 6-10'!H119+'июнь 2014г. по 0,4'!H116</f>
        <v>0</v>
      </c>
      <c r="I119" s="31">
        <f>'июнь 2014г. по 6-10'!I119+'июнь 2014г. по 0,4'!I116</f>
        <v>0</v>
      </c>
      <c r="J119" s="31">
        <f>'июнь 2014г. по 6-10'!J119+'июнь 2014г. по 0,4'!J116</f>
        <v>0</v>
      </c>
      <c r="K119" s="31">
        <f>'июнь 2014г. по 6-10'!K119+'июнь 2014г. по 0,4'!K116</f>
        <v>0</v>
      </c>
      <c r="L119" s="31">
        <f>'июнь 2014г. по 6-10'!L119+'июнь 2014г. по 0,4'!L116</f>
        <v>0</v>
      </c>
      <c r="M119" s="31">
        <f>'июнь 2014г. по 6-10'!M119+'июнь 2014г. по 0,4'!M116</f>
        <v>0</v>
      </c>
      <c r="N119" s="31">
        <f>'июнь 2014г. по 6-10'!N119+'июнь 2014г. по 0,4'!N116</f>
        <v>0</v>
      </c>
      <c r="O119" s="31">
        <f>'июнь 2014г. по 6-10'!O119+'июнь 2014г. по 0,4'!O116</f>
        <v>0</v>
      </c>
      <c r="P119" s="31">
        <f>'июнь 2014г. по 6-10'!P119+'июнь 2014г. по 0,4'!P116</f>
        <v>0</v>
      </c>
      <c r="Q119" s="31">
        <f>'июнь 2014г. по 6-10'!Q119+'июнь 2014г. по 0,4'!Q116</f>
        <v>0</v>
      </c>
    </row>
    <row r="120" spans="1:17" x14ac:dyDescent="0.2">
      <c r="A120" s="18"/>
      <c r="B120" s="53"/>
      <c r="C120" s="50" t="s">
        <v>191</v>
      </c>
      <c r="D120" s="31">
        <f>'июнь 2014г. по 6-10'!D120+'июнь 2014г. по 0,4'!D117</f>
        <v>0</v>
      </c>
      <c r="E120" s="31">
        <f>'июнь 2014г. по 6-10'!E120+'июнь 2014г. по 0,4'!E117</f>
        <v>0</v>
      </c>
      <c r="F120" s="31">
        <f>'июнь 2014г. по 6-10'!F120+'июнь 2014г. по 0,4'!F117</f>
        <v>0</v>
      </c>
      <c r="G120" s="31">
        <f>'июнь 2014г. по 6-10'!G120+'июнь 2014г. по 0,4'!G117</f>
        <v>0</v>
      </c>
      <c r="H120" s="31">
        <f>'июнь 2014г. по 6-10'!H120+'июнь 2014г. по 0,4'!H117</f>
        <v>0</v>
      </c>
      <c r="I120" s="31">
        <f>'июнь 2014г. по 6-10'!I120+'июнь 2014г. по 0,4'!I117</f>
        <v>0</v>
      </c>
      <c r="J120" s="31">
        <f>'июнь 2014г. по 6-10'!J120+'июнь 2014г. по 0,4'!J117</f>
        <v>0</v>
      </c>
      <c r="K120" s="31">
        <f>'июнь 2014г. по 6-10'!K120+'июнь 2014г. по 0,4'!K117</f>
        <v>0</v>
      </c>
      <c r="L120" s="31">
        <f>'июнь 2014г. по 6-10'!L120+'июнь 2014г. по 0,4'!L117</f>
        <v>0</v>
      </c>
      <c r="M120" s="31">
        <f>'июнь 2014г. по 6-10'!M120+'июнь 2014г. по 0,4'!M117</f>
        <v>0</v>
      </c>
      <c r="N120" s="31">
        <f>'июнь 2014г. по 6-10'!N120+'июнь 2014г. по 0,4'!N117</f>
        <v>0</v>
      </c>
      <c r="O120" s="31">
        <f>'июнь 2014г. по 6-10'!O120+'июнь 2014г. по 0,4'!O117</f>
        <v>0</v>
      </c>
      <c r="P120" s="31">
        <f>'июнь 2014г. по 6-10'!P120+'июнь 2014г. по 0,4'!P117</f>
        <v>0</v>
      </c>
      <c r="Q120" s="31">
        <f>'июнь 2014г. по 6-10'!Q120+'июнь 2014г. по 0,4'!Q117</f>
        <v>0</v>
      </c>
    </row>
    <row r="121" spans="1:17" x14ac:dyDescent="0.2">
      <c r="A121" s="18"/>
      <c r="B121" s="53"/>
      <c r="C121" s="50" t="s">
        <v>192</v>
      </c>
      <c r="D121" s="31">
        <f>'июнь 2014г. по 6-10'!D121+'июнь 2014г. по 0,4'!D118</f>
        <v>0</v>
      </c>
      <c r="E121" s="31">
        <f>'июнь 2014г. по 6-10'!E121+'июнь 2014г. по 0,4'!E118</f>
        <v>0</v>
      </c>
      <c r="F121" s="31">
        <f>'июнь 2014г. по 6-10'!F121+'июнь 2014г. по 0,4'!F118</f>
        <v>0</v>
      </c>
      <c r="G121" s="31">
        <f>'июнь 2014г. по 6-10'!G121+'июнь 2014г. по 0,4'!G118</f>
        <v>0</v>
      </c>
      <c r="H121" s="31">
        <f>'июнь 2014г. по 6-10'!H121+'июнь 2014г. по 0,4'!H118</f>
        <v>0</v>
      </c>
      <c r="I121" s="31">
        <f>'июнь 2014г. по 6-10'!I121+'июнь 2014г. по 0,4'!I118</f>
        <v>0</v>
      </c>
      <c r="J121" s="31">
        <f>'июнь 2014г. по 6-10'!J121+'июнь 2014г. по 0,4'!J118</f>
        <v>0</v>
      </c>
      <c r="K121" s="31">
        <f>'июнь 2014г. по 6-10'!K121+'июнь 2014г. по 0,4'!K118</f>
        <v>0</v>
      </c>
      <c r="L121" s="31">
        <f>'июнь 2014г. по 6-10'!L121+'июнь 2014г. по 0,4'!L118</f>
        <v>0</v>
      </c>
      <c r="M121" s="31">
        <f>'июнь 2014г. по 6-10'!M121+'июнь 2014г. по 0,4'!M118</f>
        <v>0</v>
      </c>
      <c r="N121" s="31">
        <f>'июнь 2014г. по 6-10'!N121+'июнь 2014г. по 0,4'!N118</f>
        <v>0</v>
      </c>
      <c r="O121" s="31">
        <f>'июнь 2014г. по 6-10'!O121+'июнь 2014г. по 0,4'!O118</f>
        <v>0</v>
      </c>
      <c r="P121" s="31">
        <f>'июнь 2014г. по 6-10'!P121+'июнь 2014г. по 0,4'!P118</f>
        <v>0</v>
      </c>
      <c r="Q121" s="31">
        <f>'июнь 2014г. по 6-10'!Q121+'июнь 2014г. по 0,4'!Q118</f>
        <v>0</v>
      </c>
    </row>
    <row r="122" spans="1:17" x14ac:dyDescent="0.2">
      <c r="A122" s="18"/>
      <c r="B122" s="53"/>
      <c r="C122" s="50" t="s">
        <v>193</v>
      </c>
      <c r="D122" s="31">
        <f>'июнь 2014г. по 6-10'!D122+'июнь 2014г. по 0,4'!D119</f>
        <v>6</v>
      </c>
      <c r="E122" s="31">
        <f>'июнь 2014г. по 6-10'!E122+'июнь 2014г. по 0,4'!E119</f>
        <v>62.9</v>
      </c>
      <c r="F122" s="31">
        <f>'июнь 2014г. по 6-10'!F122+'июнь 2014г. по 0,4'!F119</f>
        <v>6</v>
      </c>
      <c r="G122" s="31">
        <f>'июнь 2014г. по 6-10'!G122+'июнь 2014г. по 0,4'!G119</f>
        <v>62.9</v>
      </c>
      <c r="H122" s="31">
        <f>'июнь 2014г. по 6-10'!H122+'июнь 2014г. по 0,4'!H119</f>
        <v>0</v>
      </c>
      <c r="I122" s="31">
        <f>'июнь 2014г. по 6-10'!I122+'июнь 2014г. по 0,4'!I119</f>
        <v>0</v>
      </c>
      <c r="J122" s="31">
        <f>'июнь 2014г. по 6-10'!J122+'июнь 2014г. по 0,4'!J119</f>
        <v>0</v>
      </c>
      <c r="K122" s="31">
        <f>'июнь 2014г. по 6-10'!K122+'июнь 2014г. по 0,4'!K119</f>
        <v>0</v>
      </c>
      <c r="L122" s="31">
        <f>'июнь 2014г. по 6-10'!L122+'июнь 2014г. по 0,4'!L119</f>
        <v>0</v>
      </c>
      <c r="M122" s="31">
        <f>'июнь 2014г. по 6-10'!M122+'июнь 2014г. по 0,4'!M119</f>
        <v>0</v>
      </c>
      <c r="N122" s="31">
        <f>'июнь 2014г. по 6-10'!N122+'июнь 2014г. по 0,4'!N119</f>
        <v>0</v>
      </c>
      <c r="O122" s="31">
        <f>'июнь 2014г. по 6-10'!O122+'июнь 2014г. по 0,4'!O119</f>
        <v>0</v>
      </c>
      <c r="P122" s="31">
        <f>'июнь 2014г. по 6-10'!P122+'июнь 2014г. по 0,4'!P119</f>
        <v>0</v>
      </c>
      <c r="Q122" s="31">
        <f>'июнь 2014г. по 6-10'!Q122+'июнь 2014г. по 0,4'!Q119</f>
        <v>0</v>
      </c>
    </row>
    <row r="123" spans="1:17" x14ac:dyDescent="0.2">
      <c r="A123" s="18"/>
      <c r="B123" s="53"/>
      <c r="C123" s="50" t="s">
        <v>194</v>
      </c>
      <c r="D123" s="31">
        <f>'июнь 2014г. по 6-10'!D123+'июнь 2014г. по 0,4'!D120</f>
        <v>6</v>
      </c>
      <c r="E123" s="31">
        <f>'июнь 2014г. по 6-10'!E123+'июнь 2014г. по 0,4'!E120</f>
        <v>244</v>
      </c>
      <c r="F123" s="31">
        <f>'июнь 2014г. по 6-10'!F123+'июнь 2014г. по 0,4'!F120</f>
        <v>6</v>
      </c>
      <c r="G123" s="31">
        <f>'июнь 2014г. по 6-10'!G123+'июнь 2014г. по 0,4'!G120</f>
        <v>244</v>
      </c>
      <c r="H123" s="31">
        <f>'июнь 2014г. по 6-10'!H123+'июнь 2014г. по 0,4'!H120</f>
        <v>0</v>
      </c>
      <c r="I123" s="31">
        <f>'июнь 2014г. по 6-10'!I123+'июнь 2014г. по 0,4'!I120</f>
        <v>0</v>
      </c>
      <c r="J123" s="31">
        <f>'июнь 2014г. по 6-10'!J123+'июнь 2014г. по 0,4'!J120</f>
        <v>0</v>
      </c>
      <c r="K123" s="31">
        <f>'июнь 2014г. по 6-10'!K123+'июнь 2014г. по 0,4'!K120</f>
        <v>0</v>
      </c>
      <c r="L123" s="31">
        <f>'июнь 2014г. по 6-10'!L123+'июнь 2014г. по 0,4'!L120</f>
        <v>0</v>
      </c>
      <c r="M123" s="31">
        <f>'июнь 2014г. по 6-10'!M123+'июнь 2014г. по 0,4'!M120</f>
        <v>0</v>
      </c>
      <c r="N123" s="31">
        <f>'июнь 2014г. по 6-10'!N123+'июнь 2014г. по 0,4'!N120</f>
        <v>0</v>
      </c>
      <c r="O123" s="31">
        <f>'июнь 2014г. по 6-10'!O123+'июнь 2014г. по 0,4'!O120</f>
        <v>0</v>
      </c>
      <c r="P123" s="31">
        <f>'июнь 2014г. по 6-10'!P123+'июнь 2014г. по 0,4'!P120</f>
        <v>0</v>
      </c>
      <c r="Q123" s="31">
        <f>'июнь 2014г. по 6-10'!Q123+'июнь 2014г. по 0,4'!Q120</f>
        <v>0</v>
      </c>
    </row>
    <row r="124" spans="1:17" x14ac:dyDescent="0.2">
      <c r="A124" s="18"/>
      <c r="B124" s="53"/>
      <c r="C124" s="50" t="s">
        <v>195</v>
      </c>
      <c r="D124" s="31">
        <f>'июнь 2014г. по 6-10'!D124+'июнь 2014г. по 0,4'!D121</f>
        <v>2</v>
      </c>
      <c r="E124" s="31">
        <f>'июнь 2014г. по 6-10'!E124+'июнь 2014г. по 0,4'!E121</f>
        <v>7.5</v>
      </c>
      <c r="F124" s="31">
        <f>'июнь 2014г. по 6-10'!F124+'июнь 2014г. по 0,4'!F121</f>
        <v>2</v>
      </c>
      <c r="G124" s="31">
        <f>'июнь 2014г. по 6-10'!G124+'июнь 2014г. по 0,4'!G121</f>
        <v>7.5</v>
      </c>
      <c r="H124" s="31">
        <f>'июнь 2014г. по 6-10'!H124+'июнь 2014г. по 0,4'!H121</f>
        <v>0</v>
      </c>
      <c r="I124" s="31">
        <f>'июнь 2014г. по 6-10'!I124+'июнь 2014г. по 0,4'!I121</f>
        <v>0</v>
      </c>
      <c r="J124" s="31">
        <f>'июнь 2014г. по 6-10'!J124+'июнь 2014г. по 0,4'!J121</f>
        <v>0</v>
      </c>
      <c r="K124" s="31">
        <f>'июнь 2014г. по 6-10'!K124+'июнь 2014г. по 0,4'!K121</f>
        <v>0</v>
      </c>
      <c r="L124" s="31">
        <f>'июнь 2014г. по 6-10'!L124+'июнь 2014г. по 0,4'!L121</f>
        <v>0</v>
      </c>
      <c r="M124" s="31">
        <f>'июнь 2014г. по 6-10'!M124+'июнь 2014г. по 0,4'!M121</f>
        <v>0</v>
      </c>
      <c r="N124" s="31">
        <f>'июнь 2014г. по 6-10'!N124+'июнь 2014г. по 0,4'!N121</f>
        <v>0</v>
      </c>
      <c r="O124" s="31">
        <f>'июнь 2014г. по 6-10'!O124+'июнь 2014г. по 0,4'!O121</f>
        <v>0</v>
      </c>
      <c r="P124" s="31">
        <f>'июнь 2014г. по 6-10'!P124+'июнь 2014г. по 0,4'!P121</f>
        <v>0</v>
      </c>
      <c r="Q124" s="31">
        <f>'июнь 2014г. по 6-10'!Q124+'июнь 2014г. по 0,4'!Q121</f>
        <v>0</v>
      </c>
    </row>
    <row r="125" spans="1:17" x14ac:dyDescent="0.2">
      <c r="A125" s="18"/>
      <c r="B125" s="53"/>
      <c r="C125" s="50" t="s">
        <v>196</v>
      </c>
      <c r="D125" s="31">
        <f>'июнь 2014г. по 6-10'!D125+'июнь 2014г. по 0,4'!D122</f>
        <v>3</v>
      </c>
      <c r="E125" s="31">
        <f>'июнь 2014г. по 6-10'!E125+'июнь 2014г. по 0,4'!E122</f>
        <v>19.8</v>
      </c>
      <c r="F125" s="31">
        <f>'июнь 2014г. по 6-10'!F125+'июнь 2014г. по 0,4'!F122</f>
        <v>3</v>
      </c>
      <c r="G125" s="31">
        <f>'июнь 2014г. по 6-10'!G125+'июнь 2014г. по 0,4'!G122</f>
        <v>19.8</v>
      </c>
      <c r="H125" s="31">
        <f>'июнь 2014г. по 6-10'!H125+'июнь 2014г. по 0,4'!H122</f>
        <v>0</v>
      </c>
      <c r="I125" s="31">
        <f>'июнь 2014г. по 6-10'!I125+'июнь 2014г. по 0,4'!I122</f>
        <v>0</v>
      </c>
      <c r="J125" s="31">
        <f>'июнь 2014г. по 6-10'!J125+'июнь 2014г. по 0,4'!J122</f>
        <v>2</v>
      </c>
      <c r="K125" s="31">
        <f>'июнь 2014г. по 6-10'!K125+'июнь 2014г. по 0,4'!K122</f>
        <v>18</v>
      </c>
      <c r="L125" s="31">
        <f>'июнь 2014г. по 6-10'!L125+'июнь 2014г. по 0,4'!L122</f>
        <v>0</v>
      </c>
      <c r="M125" s="31">
        <f>'июнь 2014г. по 6-10'!M125+'июнь 2014г. по 0,4'!M122</f>
        <v>0</v>
      </c>
      <c r="N125" s="31">
        <f>'июнь 2014г. по 6-10'!N125+'июнь 2014г. по 0,4'!N122</f>
        <v>0</v>
      </c>
      <c r="O125" s="31">
        <f>'июнь 2014г. по 6-10'!O125+'июнь 2014г. по 0,4'!O122</f>
        <v>0</v>
      </c>
      <c r="P125" s="31">
        <f>'июнь 2014г. по 6-10'!P125+'июнь 2014г. по 0,4'!P122</f>
        <v>0</v>
      </c>
      <c r="Q125" s="31">
        <f>'июнь 2014г. по 6-10'!Q125+'июнь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'июнь 2014г. по 6-10'!D126+'июнь 2014г. по 0,4'!D123</f>
        <v>5</v>
      </c>
      <c r="E126" s="31">
        <f>'июнь 2014г. по 6-10'!E126+'июнь 2014г. по 0,4'!E123</f>
        <v>130</v>
      </c>
      <c r="F126" s="31">
        <f>'июнь 2014г. по 6-10'!F126+'июнь 2014г. по 0,4'!F123</f>
        <v>5</v>
      </c>
      <c r="G126" s="31">
        <f>'июнь 2014г. по 6-10'!G126+'июнь 2014г. по 0,4'!G123</f>
        <v>130</v>
      </c>
      <c r="H126" s="31">
        <f>'июнь 2014г. по 6-10'!H126+'июнь 2014г. по 0,4'!H123</f>
        <v>0</v>
      </c>
      <c r="I126" s="31">
        <f>'июнь 2014г. по 6-10'!I126+'июнь 2014г. по 0,4'!I123</f>
        <v>0</v>
      </c>
      <c r="J126" s="31">
        <f>'июнь 2014г. по 6-10'!J126+'июнь 2014г. по 0,4'!J123</f>
        <v>0</v>
      </c>
      <c r="K126" s="31">
        <f>'июнь 2014г. по 6-10'!K126+'июнь 2014г. по 0,4'!K123</f>
        <v>0</v>
      </c>
      <c r="L126" s="31">
        <f>'июнь 2014г. по 6-10'!L126+'июнь 2014г. по 0,4'!L123</f>
        <v>0</v>
      </c>
      <c r="M126" s="31">
        <f>'июнь 2014г. по 6-10'!M126+'июнь 2014г. по 0,4'!M123</f>
        <v>0</v>
      </c>
      <c r="N126" s="31">
        <f>'июнь 2014г. по 6-10'!N126+'июнь 2014г. по 0,4'!N123</f>
        <v>0</v>
      </c>
      <c r="O126" s="31">
        <f>'июнь 2014г. по 6-10'!O126+'июнь 2014г. по 0,4'!O123</f>
        <v>0</v>
      </c>
      <c r="P126" s="31">
        <f>'июнь 2014г. по 6-10'!P126+'июнь 2014г. по 0,4'!P123</f>
        <v>0</v>
      </c>
      <c r="Q126" s="31">
        <f>'июнь 2014г. по 6-10'!Q126+'июнь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'июнь 2014г. по 6-10'!D127+'июнь 2014г. по 0,4'!D124</f>
        <v>1</v>
      </c>
      <c r="E127" s="31">
        <f>'июнь 2014г. по 6-10'!E127+'июнь 2014г. по 0,4'!E124</f>
        <v>160</v>
      </c>
      <c r="F127" s="31">
        <f>'июнь 2014г. по 6-10'!F127+'июнь 2014г. по 0,4'!F124</f>
        <v>1</v>
      </c>
      <c r="G127" s="31">
        <f>'июнь 2014г. по 6-10'!G127+'июнь 2014г. по 0,4'!G124</f>
        <v>160</v>
      </c>
      <c r="H127" s="31">
        <f>'июнь 2014г. по 6-10'!H127+'июнь 2014г. по 0,4'!H124</f>
        <v>0</v>
      </c>
      <c r="I127" s="31">
        <f>'июнь 2014г. по 6-10'!I127+'июнь 2014г. по 0,4'!I124</f>
        <v>0</v>
      </c>
      <c r="J127" s="31">
        <f>'июнь 2014г. по 6-10'!J127+'июнь 2014г. по 0,4'!J124</f>
        <v>0</v>
      </c>
      <c r="K127" s="31">
        <f>'июнь 2014г. по 6-10'!K127+'июнь 2014г. по 0,4'!K124</f>
        <v>0</v>
      </c>
      <c r="L127" s="31">
        <f>'июнь 2014г. по 6-10'!L127+'июнь 2014г. по 0,4'!L124</f>
        <v>0</v>
      </c>
      <c r="M127" s="31">
        <f>'июнь 2014г. по 6-10'!M127+'июнь 2014г. по 0,4'!M124</f>
        <v>0</v>
      </c>
      <c r="N127" s="31">
        <f>'июнь 2014г. по 6-10'!N127+'июнь 2014г. по 0,4'!N124</f>
        <v>0</v>
      </c>
      <c r="O127" s="31">
        <f>'июнь 2014г. по 6-10'!O127+'июнь 2014г. по 0,4'!O124</f>
        <v>0</v>
      </c>
      <c r="P127" s="31">
        <f>'июнь 2014г. по 6-10'!P127+'июнь 2014г. по 0,4'!P124</f>
        <v>0</v>
      </c>
      <c r="Q127" s="31">
        <f>'июнь 2014г. по 6-10'!Q127+'июнь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'июнь 2014г. по 6-10'!D128+'июнь 2014г. по 0,4'!D125</f>
        <v>1</v>
      </c>
      <c r="E128" s="31">
        <f>'июнь 2014г. по 6-10'!E128+'июнь 2014г. по 0,4'!E125</f>
        <v>1.8</v>
      </c>
      <c r="F128" s="31">
        <f>'июнь 2014г. по 6-10'!F128+'июнь 2014г. по 0,4'!F125</f>
        <v>1</v>
      </c>
      <c r="G128" s="31">
        <f>'июнь 2014г. по 6-10'!G128+'июнь 2014г. по 0,4'!G125</f>
        <v>1.8</v>
      </c>
      <c r="H128" s="31">
        <f>'июнь 2014г. по 6-10'!H128+'июнь 2014г. по 0,4'!H125</f>
        <v>0</v>
      </c>
      <c r="I128" s="31">
        <f>'июнь 2014г. по 6-10'!I128+'июнь 2014г. по 0,4'!I125</f>
        <v>0</v>
      </c>
      <c r="J128" s="31">
        <f>'июнь 2014г. по 6-10'!J128+'июнь 2014г. по 0,4'!J125</f>
        <v>0</v>
      </c>
      <c r="K128" s="31">
        <f>'июнь 2014г. по 6-10'!K128+'июнь 2014г. по 0,4'!K125</f>
        <v>0</v>
      </c>
      <c r="L128" s="31">
        <f>'июнь 2014г. по 6-10'!L128+'июнь 2014г. по 0,4'!L125</f>
        <v>0</v>
      </c>
      <c r="M128" s="31">
        <f>'июнь 2014г. по 6-10'!M128+'июнь 2014г. по 0,4'!M125</f>
        <v>0</v>
      </c>
      <c r="N128" s="31">
        <f>'июнь 2014г. по 6-10'!N128+'июнь 2014г. по 0,4'!N125</f>
        <v>0</v>
      </c>
      <c r="O128" s="31">
        <f>'июнь 2014г. по 6-10'!O128+'июнь 2014г. по 0,4'!O125</f>
        <v>0</v>
      </c>
      <c r="P128" s="31">
        <f>'июнь 2014г. по 6-10'!P128+'июнь 2014г. по 0,4'!P125</f>
        <v>0</v>
      </c>
      <c r="Q128" s="31">
        <f>'июнь 2014г. по 6-10'!Q128+'июнь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'июнь 2014г. по 6-10'!D129+'июнь 2014г. по 0,4'!D126</f>
        <v>6</v>
      </c>
      <c r="E129" s="31">
        <f>'июнь 2014г. по 6-10'!E129+'июнь 2014г. по 0,4'!E126</f>
        <v>124</v>
      </c>
      <c r="F129" s="31">
        <f>'июнь 2014г. по 6-10'!F129+'июнь 2014г. по 0,4'!F126</f>
        <v>6</v>
      </c>
      <c r="G129" s="31">
        <f>'июнь 2014г. по 6-10'!G129+'июнь 2014г. по 0,4'!G126</f>
        <v>124</v>
      </c>
      <c r="H129" s="31">
        <f>'июнь 2014г. по 6-10'!H129+'июнь 2014г. по 0,4'!H126</f>
        <v>0</v>
      </c>
      <c r="I129" s="31">
        <f>'июнь 2014г. по 6-10'!I129+'июнь 2014г. по 0,4'!I126</f>
        <v>0</v>
      </c>
      <c r="J129" s="31">
        <f>'июнь 2014г. по 6-10'!J129+'июнь 2014г. по 0,4'!J126</f>
        <v>0</v>
      </c>
      <c r="K129" s="31">
        <f>'июнь 2014г. по 6-10'!K129+'июнь 2014г. по 0,4'!K126</f>
        <v>0</v>
      </c>
      <c r="L129" s="31">
        <f>'июнь 2014г. по 6-10'!L129+'июнь 2014г. по 0,4'!L126</f>
        <v>0</v>
      </c>
      <c r="M129" s="31">
        <f>'июнь 2014г. по 6-10'!M129+'июнь 2014г. по 0,4'!M126</f>
        <v>0</v>
      </c>
      <c r="N129" s="31">
        <f>'июнь 2014г. по 6-10'!N129+'июнь 2014г. по 0,4'!N126</f>
        <v>0</v>
      </c>
      <c r="O129" s="31">
        <f>'июнь 2014г. по 6-10'!O129+'июнь 2014г. по 0,4'!O126</f>
        <v>0</v>
      </c>
      <c r="P129" s="31">
        <f>'июнь 2014г. по 6-10'!P129+'июнь 2014г. по 0,4'!P126</f>
        <v>0</v>
      </c>
      <c r="Q129" s="31">
        <f>'июнь 2014г. по 6-10'!Q129+'июнь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'июнь 2014г. по 6-10'!D130+'июнь 2014г. по 0,4'!D127</f>
        <v>4</v>
      </c>
      <c r="E130" s="31">
        <f>'июнь 2014г. по 6-10'!E130+'июнь 2014г. по 0,4'!E127</f>
        <v>28</v>
      </c>
      <c r="F130" s="31">
        <f>'июнь 2014г. по 6-10'!F130+'июнь 2014г. по 0,4'!F127</f>
        <v>4</v>
      </c>
      <c r="G130" s="31">
        <f>'июнь 2014г. по 6-10'!G130+'июнь 2014г. по 0,4'!G127</f>
        <v>28</v>
      </c>
      <c r="H130" s="31">
        <f>'июнь 2014г. по 6-10'!H130+'июнь 2014г. по 0,4'!H127</f>
        <v>0</v>
      </c>
      <c r="I130" s="31">
        <f>'июнь 2014г. по 6-10'!I130+'июнь 2014г. по 0,4'!I127</f>
        <v>0</v>
      </c>
      <c r="J130" s="31">
        <f>'июнь 2014г. по 6-10'!J130+'июнь 2014г. по 0,4'!J127</f>
        <v>0</v>
      </c>
      <c r="K130" s="31">
        <f>'июнь 2014г. по 6-10'!K130+'июнь 2014г. по 0,4'!K127</f>
        <v>0</v>
      </c>
      <c r="L130" s="31">
        <f>'июнь 2014г. по 6-10'!L130+'июнь 2014г. по 0,4'!L127</f>
        <v>0</v>
      </c>
      <c r="M130" s="31">
        <f>'июнь 2014г. по 6-10'!M130+'июнь 2014г. по 0,4'!M127</f>
        <v>0</v>
      </c>
      <c r="N130" s="31">
        <f>'июнь 2014г. по 6-10'!N130+'июнь 2014г. по 0,4'!N127</f>
        <v>0</v>
      </c>
      <c r="O130" s="31">
        <f>'июнь 2014г. по 6-10'!O130+'июнь 2014г. по 0,4'!O127</f>
        <v>0</v>
      </c>
      <c r="P130" s="31">
        <f>'июнь 2014г. по 6-10'!P130+'июнь 2014г. по 0,4'!P127</f>
        <v>0</v>
      </c>
      <c r="Q130" s="31">
        <f>'июнь 2014г. по 6-10'!Q130+'июнь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'июнь 2014г. по 6-10'!D131+'июнь 2014г. по 0,4'!D128</f>
        <v>2</v>
      </c>
      <c r="E131" s="31">
        <f>'июнь 2014г. по 6-10'!E131+'июнь 2014г. по 0,4'!E128</f>
        <v>19</v>
      </c>
      <c r="F131" s="31">
        <f>'июнь 2014г. по 6-10'!F131+'июнь 2014г. по 0,4'!F128</f>
        <v>2</v>
      </c>
      <c r="G131" s="31">
        <f>'июнь 2014г. по 6-10'!G131+'июнь 2014г. по 0,4'!G128</f>
        <v>19</v>
      </c>
      <c r="H131" s="31">
        <f>'июнь 2014г. по 6-10'!H131+'июнь 2014г. по 0,4'!H128</f>
        <v>0</v>
      </c>
      <c r="I131" s="31">
        <f>'июнь 2014г. по 6-10'!I131+'июнь 2014г. по 0,4'!I128</f>
        <v>0</v>
      </c>
      <c r="J131" s="31">
        <f>'июнь 2014г. по 6-10'!J131+'июнь 2014г. по 0,4'!J128</f>
        <v>0</v>
      </c>
      <c r="K131" s="31">
        <f>'июнь 2014г. по 6-10'!K131+'июнь 2014г. по 0,4'!K128</f>
        <v>0</v>
      </c>
      <c r="L131" s="31">
        <f>'июнь 2014г. по 6-10'!L131+'июнь 2014г. по 0,4'!L128</f>
        <v>0</v>
      </c>
      <c r="M131" s="31">
        <f>'июнь 2014г. по 6-10'!M131+'июнь 2014г. по 0,4'!M128</f>
        <v>0</v>
      </c>
      <c r="N131" s="31">
        <f>'июнь 2014г. по 6-10'!N131+'июнь 2014г. по 0,4'!N128</f>
        <v>0</v>
      </c>
      <c r="O131" s="31">
        <f>'июнь 2014г. по 6-10'!O131+'июнь 2014г. по 0,4'!O128</f>
        <v>0</v>
      </c>
      <c r="P131" s="31">
        <f>'июнь 2014г. по 6-10'!P131+'июнь 2014г. по 0,4'!P128</f>
        <v>0</v>
      </c>
      <c r="Q131" s="31">
        <f>'июнь 2014г. по 6-10'!Q131+'июнь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'июнь 2014г. по 6-10'!D132+'июнь 2014г. по 0,4'!D129</f>
        <v>1</v>
      </c>
      <c r="E132" s="31">
        <f>'июнь 2014г. по 6-10'!E132+'июнь 2014г. по 0,4'!E129</f>
        <v>3</v>
      </c>
      <c r="F132" s="31">
        <f>'июнь 2014г. по 6-10'!F132+'июнь 2014г. по 0,4'!F129</f>
        <v>1</v>
      </c>
      <c r="G132" s="31">
        <f>'июнь 2014г. по 6-10'!G132+'июнь 2014г. по 0,4'!G129</f>
        <v>3</v>
      </c>
      <c r="H132" s="31">
        <f>'июнь 2014г. по 6-10'!H132+'июнь 2014г. по 0,4'!H129</f>
        <v>0</v>
      </c>
      <c r="I132" s="31">
        <f>'июнь 2014г. по 6-10'!I132+'июнь 2014г. по 0,4'!I129</f>
        <v>0</v>
      </c>
      <c r="J132" s="31">
        <f>'июнь 2014г. по 6-10'!J132+'июнь 2014г. по 0,4'!J129</f>
        <v>0</v>
      </c>
      <c r="K132" s="31">
        <f>'июнь 2014г. по 6-10'!K132+'июнь 2014г. по 0,4'!K129</f>
        <v>0</v>
      </c>
      <c r="L132" s="31">
        <f>'июнь 2014г. по 6-10'!L132+'июнь 2014г. по 0,4'!L129</f>
        <v>0</v>
      </c>
      <c r="M132" s="31">
        <f>'июнь 2014г. по 6-10'!M132+'июнь 2014г. по 0,4'!M129</f>
        <v>0</v>
      </c>
      <c r="N132" s="31">
        <f>'июнь 2014г. по 6-10'!N132+'июнь 2014г. по 0,4'!N129</f>
        <v>0</v>
      </c>
      <c r="O132" s="31">
        <f>'июнь 2014г. по 6-10'!O132+'июнь 2014г. по 0,4'!O129</f>
        <v>0</v>
      </c>
      <c r="P132" s="31">
        <f>'июнь 2014г. по 6-10'!P132+'июнь 2014г. по 0,4'!P129</f>
        <v>0</v>
      </c>
      <c r="Q132" s="31">
        <f>'июнь 2014г. по 6-10'!Q132+'июнь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'июнь 2014г. по 6-10'!D133+'июнь 2014г. по 0,4'!D130</f>
        <v>1</v>
      </c>
      <c r="E133" s="31">
        <f>'июнь 2014г. по 6-10'!E133+'июнь 2014г. по 0,4'!E130</f>
        <v>4.4000000000000004</v>
      </c>
      <c r="F133" s="31">
        <f>'июнь 2014г. по 6-10'!F133+'июнь 2014г. по 0,4'!F130</f>
        <v>1</v>
      </c>
      <c r="G133" s="31">
        <f>'июнь 2014г. по 6-10'!G133+'июнь 2014г. по 0,4'!G130</f>
        <v>4.4000000000000004</v>
      </c>
      <c r="H133" s="31">
        <f>'июнь 2014г. по 6-10'!H133+'июнь 2014г. по 0,4'!H130</f>
        <v>0</v>
      </c>
      <c r="I133" s="31">
        <f>'июнь 2014г. по 6-10'!I133+'июнь 2014г. по 0,4'!I130</f>
        <v>0</v>
      </c>
      <c r="J133" s="31">
        <f>'июнь 2014г. по 6-10'!J133+'июнь 2014г. по 0,4'!J130</f>
        <v>0</v>
      </c>
      <c r="K133" s="31">
        <f>'июнь 2014г. по 6-10'!K133+'июнь 2014г. по 0,4'!K130</f>
        <v>0</v>
      </c>
      <c r="L133" s="31">
        <f>'июнь 2014г. по 6-10'!L133+'июнь 2014г. по 0,4'!L130</f>
        <v>0</v>
      </c>
      <c r="M133" s="31">
        <f>'июнь 2014г. по 6-10'!M133+'июнь 2014г. по 0,4'!M130</f>
        <v>0</v>
      </c>
      <c r="N133" s="31">
        <f>'июнь 2014г. по 6-10'!N133+'июнь 2014г. по 0,4'!N130</f>
        <v>0</v>
      </c>
      <c r="O133" s="31">
        <f>'июнь 2014г. по 6-10'!O133+'июнь 2014г. по 0,4'!O130</f>
        <v>0</v>
      </c>
      <c r="P133" s="31">
        <f>'июнь 2014г. по 6-10'!P133+'июнь 2014г. по 0,4'!P130</f>
        <v>0</v>
      </c>
      <c r="Q133" s="31">
        <f>'июнь 2014г. по 6-10'!Q133+'июнь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'июнь 2014г. по 6-10'!D134+'июнь 2014г. по 0,4'!D131</f>
        <v>0</v>
      </c>
      <c r="E134" s="31">
        <f>'июнь 2014г. по 6-10'!E134+'июнь 2014г. по 0,4'!E131</f>
        <v>0</v>
      </c>
      <c r="F134" s="31">
        <f>'июнь 2014г. по 6-10'!F134+'июнь 2014г. по 0,4'!F131</f>
        <v>0</v>
      </c>
      <c r="G134" s="31">
        <f>'июнь 2014г. по 6-10'!G134+'июнь 2014г. по 0,4'!G131</f>
        <v>0</v>
      </c>
      <c r="H134" s="31">
        <f>'июнь 2014г. по 6-10'!H134+'июнь 2014г. по 0,4'!H131</f>
        <v>0</v>
      </c>
      <c r="I134" s="31">
        <f>'июнь 2014г. по 6-10'!I134+'июнь 2014г. по 0,4'!I131</f>
        <v>0</v>
      </c>
      <c r="J134" s="31">
        <f>'июнь 2014г. по 6-10'!J134+'июнь 2014г. по 0,4'!J131</f>
        <v>0</v>
      </c>
      <c r="K134" s="31">
        <f>'июнь 2014г. по 6-10'!K134+'июнь 2014г. по 0,4'!K131</f>
        <v>0</v>
      </c>
      <c r="L134" s="31">
        <f>'июнь 2014г. по 6-10'!L134+'июнь 2014г. по 0,4'!L131</f>
        <v>0</v>
      </c>
      <c r="M134" s="31">
        <f>'июнь 2014г. по 6-10'!M134+'июнь 2014г. по 0,4'!M131</f>
        <v>0</v>
      </c>
      <c r="N134" s="31">
        <f>'июнь 2014г. по 6-10'!N134+'июнь 2014г. по 0,4'!N131</f>
        <v>0</v>
      </c>
      <c r="O134" s="31">
        <f>'июнь 2014г. по 6-10'!O134+'июнь 2014г. по 0,4'!O131</f>
        <v>0</v>
      </c>
      <c r="P134" s="31">
        <f>'июнь 2014г. по 6-10'!P134+'июнь 2014г. по 0,4'!P131</f>
        <v>0</v>
      </c>
      <c r="Q134" s="31">
        <f>'июнь 2014г. по 6-10'!Q134+'июнь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'июнь 2014г. по 6-10'!D135+'июнь 2014г. по 0,4'!D132</f>
        <v>2</v>
      </c>
      <c r="E135" s="31">
        <f>'июнь 2014г. по 6-10'!E135+'июнь 2014г. по 0,4'!E132</f>
        <v>13</v>
      </c>
      <c r="F135" s="31">
        <f>'июнь 2014г. по 6-10'!F135+'июнь 2014г. по 0,4'!F132</f>
        <v>2</v>
      </c>
      <c r="G135" s="31">
        <f>'июнь 2014г. по 6-10'!G135+'июнь 2014г. по 0,4'!G132</f>
        <v>13</v>
      </c>
      <c r="H135" s="31">
        <f>'июнь 2014г. по 6-10'!H135+'июнь 2014г. по 0,4'!H132</f>
        <v>0</v>
      </c>
      <c r="I135" s="31">
        <f>'июнь 2014г. по 6-10'!I135+'июнь 2014г. по 0,4'!I132</f>
        <v>0</v>
      </c>
      <c r="J135" s="31">
        <f>'июнь 2014г. по 6-10'!J135+'июнь 2014г. по 0,4'!J132</f>
        <v>0</v>
      </c>
      <c r="K135" s="31">
        <f>'июнь 2014г. по 6-10'!K135+'июнь 2014г. по 0,4'!K132</f>
        <v>0</v>
      </c>
      <c r="L135" s="31">
        <f>'июнь 2014г. по 6-10'!L135+'июнь 2014г. по 0,4'!L132</f>
        <v>0</v>
      </c>
      <c r="M135" s="31">
        <f>'июнь 2014г. по 6-10'!M135+'июнь 2014г. по 0,4'!M132</f>
        <v>0</v>
      </c>
      <c r="N135" s="31">
        <f>'июнь 2014г. по 6-10'!N135+'июнь 2014г. по 0,4'!N132</f>
        <v>0</v>
      </c>
      <c r="O135" s="31">
        <f>'июнь 2014г. по 6-10'!O135+'июнь 2014г. по 0,4'!O132</f>
        <v>0</v>
      </c>
      <c r="P135" s="31">
        <f>'июнь 2014г. по 6-10'!P135+'июнь 2014г. по 0,4'!P132</f>
        <v>0</v>
      </c>
      <c r="Q135" s="31">
        <f>'июнь 2014г. по 6-10'!Q135+'июнь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'июнь 2014г. по 6-10'!D136+'июнь 2014г. по 0,4'!D133</f>
        <v>2</v>
      </c>
      <c r="E136" s="31">
        <f>'июнь 2014г. по 6-10'!E136+'июнь 2014г. по 0,4'!E133</f>
        <v>25</v>
      </c>
      <c r="F136" s="31">
        <f>'июнь 2014г. по 6-10'!F136+'июнь 2014г. по 0,4'!F133</f>
        <v>2</v>
      </c>
      <c r="G136" s="31">
        <f>'июнь 2014г. по 6-10'!G136+'июнь 2014г. по 0,4'!G133</f>
        <v>25</v>
      </c>
      <c r="H136" s="31">
        <f>'июнь 2014г. по 6-10'!H136+'июнь 2014г. по 0,4'!H133</f>
        <v>0</v>
      </c>
      <c r="I136" s="31">
        <f>'июнь 2014г. по 6-10'!I136+'июнь 2014г. по 0,4'!I133</f>
        <v>0</v>
      </c>
      <c r="J136" s="31">
        <f>'июнь 2014г. по 6-10'!J136+'июнь 2014г. по 0,4'!J133</f>
        <v>0</v>
      </c>
      <c r="K136" s="31">
        <f>'июнь 2014г. по 6-10'!K136+'июнь 2014г. по 0,4'!K133</f>
        <v>0</v>
      </c>
      <c r="L136" s="31">
        <f>'июнь 2014г. по 6-10'!L136+'июнь 2014г. по 0,4'!L133</f>
        <v>0</v>
      </c>
      <c r="M136" s="31">
        <f>'июнь 2014г. по 6-10'!M136+'июнь 2014г. по 0,4'!M133</f>
        <v>0</v>
      </c>
      <c r="N136" s="31">
        <f>'июнь 2014г. по 6-10'!N136+'июнь 2014г. по 0,4'!N133</f>
        <v>0</v>
      </c>
      <c r="O136" s="31">
        <f>'июнь 2014г. по 6-10'!O136+'июнь 2014г. по 0,4'!O133</f>
        <v>0</v>
      </c>
      <c r="P136" s="31">
        <f>'июнь 2014г. по 6-10'!P136+'июнь 2014г. по 0,4'!P133</f>
        <v>0</v>
      </c>
      <c r="Q136" s="31">
        <f>'июнь 2014г. по 6-10'!Q136+'июнь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'июнь 2014г. по 6-10'!D137+'июнь 2014г. по 0,4'!D134</f>
        <v>0</v>
      </c>
      <c r="E137" s="31">
        <f>'июнь 2014г. по 6-10'!E137+'июнь 2014г. по 0,4'!E134</f>
        <v>0</v>
      </c>
      <c r="F137" s="31">
        <f>'июнь 2014г. по 6-10'!F137+'июнь 2014г. по 0,4'!F134</f>
        <v>0</v>
      </c>
      <c r="G137" s="31">
        <f>'июнь 2014г. по 6-10'!G137+'июнь 2014г. по 0,4'!G134</f>
        <v>0</v>
      </c>
      <c r="H137" s="31">
        <f>'июнь 2014г. по 6-10'!H137+'июнь 2014г. по 0,4'!H134</f>
        <v>0</v>
      </c>
      <c r="I137" s="31">
        <f>'июнь 2014г. по 6-10'!I137+'июнь 2014г. по 0,4'!I134</f>
        <v>0</v>
      </c>
      <c r="J137" s="31">
        <f>'июнь 2014г. по 6-10'!J137+'июнь 2014г. по 0,4'!J134</f>
        <v>0</v>
      </c>
      <c r="K137" s="31">
        <f>'июнь 2014г. по 6-10'!K137+'июнь 2014г. по 0,4'!K134</f>
        <v>0</v>
      </c>
      <c r="L137" s="31">
        <f>'июнь 2014г. по 6-10'!L137+'июнь 2014г. по 0,4'!L134</f>
        <v>0</v>
      </c>
      <c r="M137" s="31">
        <f>'июнь 2014г. по 6-10'!M137+'июнь 2014г. по 0,4'!M134</f>
        <v>0</v>
      </c>
      <c r="N137" s="31">
        <f>'июнь 2014г. по 6-10'!N137+'июнь 2014г. по 0,4'!N134</f>
        <v>0</v>
      </c>
      <c r="O137" s="31">
        <f>'июнь 2014г. по 6-10'!O137+'июнь 2014г. по 0,4'!O134</f>
        <v>0</v>
      </c>
      <c r="P137" s="31">
        <f>'июнь 2014г. по 6-10'!P137+'июнь 2014г. по 0,4'!P134</f>
        <v>0</v>
      </c>
      <c r="Q137" s="31">
        <f>'июнь 2014г. по 6-10'!Q137+'июнь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'июнь 2014г. по 6-10'!D138+'июнь 2014г. по 0,4'!D135</f>
        <v>0</v>
      </c>
      <c r="E138" s="31">
        <f>'июнь 2014г. по 6-10'!E138+'июнь 2014г. по 0,4'!E135</f>
        <v>0</v>
      </c>
      <c r="F138" s="31">
        <f>'июнь 2014г. по 6-10'!F138+'июнь 2014г. по 0,4'!F135</f>
        <v>0</v>
      </c>
      <c r="G138" s="31">
        <f>'июнь 2014г. по 6-10'!G138+'июнь 2014г. по 0,4'!G135</f>
        <v>0</v>
      </c>
      <c r="H138" s="31">
        <f>'июнь 2014г. по 6-10'!H138+'июнь 2014г. по 0,4'!H135</f>
        <v>0</v>
      </c>
      <c r="I138" s="31">
        <f>'июнь 2014г. по 6-10'!I138+'июнь 2014г. по 0,4'!I135</f>
        <v>0</v>
      </c>
      <c r="J138" s="31">
        <f>'июнь 2014г. по 6-10'!J138+'июнь 2014г. по 0,4'!J135</f>
        <v>0</v>
      </c>
      <c r="K138" s="31">
        <f>'июнь 2014г. по 6-10'!K138+'июнь 2014г. по 0,4'!K135</f>
        <v>0</v>
      </c>
      <c r="L138" s="31">
        <f>'июнь 2014г. по 6-10'!L138+'июнь 2014г. по 0,4'!L135</f>
        <v>0</v>
      </c>
      <c r="M138" s="31">
        <f>'июнь 2014г. по 6-10'!M138+'июнь 2014г. по 0,4'!M135</f>
        <v>0</v>
      </c>
      <c r="N138" s="31">
        <f>'июнь 2014г. по 6-10'!N138+'июнь 2014г. по 0,4'!N135</f>
        <v>0</v>
      </c>
      <c r="O138" s="31">
        <f>'июнь 2014г. по 6-10'!O138+'июнь 2014г. по 0,4'!O135</f>
        <v>0</v>
      </c>
      <c r="P138" s="31">
        <f>'июнь 2014г. по 6-10'!P138+'июнь 2014г. по 0,4'!P135</f>
        <v>0</v>
      </c>
      <c r="Q138" s="31">
        <f>'июнь 2014г. по 6-10'!Q138+'июнь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'июнь 2014г. по 6-10'!D139+'июнь 2014г. по 0,4'!D136</f>
        <v>2</v>
      </c>
      <c r="E139" s="31">
        <f>'июнь 2014г. по 6-10'!E139+'июнь 2014г. по 0,4'!E136</f>
        <v>55</v>
      </c>
      <c r="F139" s="31">
        <f>'июнь 2014г. по 6-10'!F139+'июнь 2014г. по 0,4'!F136</f>
        <v>2</v>
      </c>
      <c r="G139" s="31">
        <f>'июнь 2014г. по 6-10'!G139+'июнь 2014г. по 0,4'!G136</f>
        <v>55</v>
      </c>
      <c r="H139" s="31">
        <f>'июнь 2014г. по 6-10'!H139+'июнь 2014г. по 0,4'!H136</f>
        <v>0</v>
      </c>
      <c r="I139" s="31">
        <f>'июнь 2014г. по 6-10'!I139+'июнь 2014г. по 0,4'!I136</f>
        <v>0</v>
      </c>
      <c r="J139" s="31">
        <f>'июнь 2014г. по 6-10'!J139+'июнь 2014г. по 0,4'!J136</f>
        <v>0</v>
      </c>
      <c r="K139" s="31">
        <f>'июнь 2014г. по 6-10'!K139+'июнь 2014г. по 0,4'!K136</f>
        <v>0</v>
      </c>
      <c r="L139" s="31">
        <f>'июнь 2014г. по 6-10'!L139+'июнь 2014г. по 0,4'!L136</f>
        <v>0</v>
      </c>
      <c r="M139" s="31">
        <f>'июнь 2014г. по 6-10'!M139+'июнь 2014г. по 0,4'!M136</f>
        <v>0</v>
      </c>
      <c r="N139" s="31">
        <f>'июнь 2014г. по 6-10'!N139+'июнь 2014г. по 0,4'!N136</f>
        <v>0</v>
      </c>
      <c r="O139" s="31">
        <f>'июнь 2014г. по 6-10'!O139+'июнь 2014г. по 0,4'!O136</f>
        <v>0</v>
      </c>
      <c r="P139" s="31">
        <f>'июнь 2014г. по 6-10'!P139+'июнь 2014г. по 0,4'!P136</f>
        <v>0</v>
      </c>
      <c r="Q139" s="31">
        <f>'июнь 2014г. по 6-10'!Q139+'июнь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'июнь 2014г. по 6-10'!D140+'июнь 2014г. по 0,4'!D137</f>
        <v>0</v>
      </c>
      <c r="E140" s="31">
        <f>'июнь 2014г. по 6-10'!E140+'июнь 2014г. по 0,4'!E137</f>
        <v>0</v>
      </c>
      <c r="F140" s="31">
        <f>'июнь 2014г. по 6-10'!F140+'июнь 2014г. по 0,4'!F137</f>
        <v>0</v>
      </c>
      <c r="G140" s="31">
        <f>'июнь 2014г. по 6-10'!G140+'июнь 2014г. по 0,4'!G137</f>
        <v>0</v>
      </c>
      <c r="H140" s="31">
        <f>'июнь 2014г. по 6-10'!H140+'июнь 2014г. по 0,4'!H137</f>
        <v>0</v>
      </c>
      <c r="I140" s="31">
        <f>'июнь 2014г. по 6-10'!I140+'июнь 2014г. по 0,4'!I137</f>
        <v>0</v>
      </c>
      <c r="J140" s="31">
        <f>'июнь 2014г. по 6-10'!J140+'июнь 2014г. по 0,4'!J137</f>
        <v>0</v>
      </c>
      <c r="K140" s="31">
        <f>'июнь 2014г. по 6-10'!K140+'июнь 2014г. по 0,4'!K137</f>
        <v>0</v>
      </c>
      <c r="L140" s="31">
        <f>'июнь 2014г. по 6-10'!L140+'июнь 2014г. по 0,4'!L137</f>
        <v>0</v>
      </c>
      <c r="M140" s="31">
        <f>'июнь 2014г. по 6-10'!M140+'июнь 2014г. по 0,4'!M137</f>
        <v>0</v>
      </c>
      <c r="N140" s="31">
        <f>'июнь 2014г. по 6-10'!N140+'июнь 2014г. по 0,4'!N137</f>
        <v>0</v>
      </c>
      <c r="O140" s="31">
        <f>'июнь 2014г. по 6-10'!O140+'июнь 2014г. по 0,4'!O137</f>
        <v>0</v>
      </c>
      <c r="P140" s="31">
        <f>'июнь 2014г. по 6-10'!P140+'июнь 2014г. по 0,4'!P137</f>
        <v>0</v>
      </c>
      <c r="Q140" s="31">
        <f>'июнь 2014г. по 6-10'!Q140+'июнь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'июнь 2014г. по 6-10'!D141+'июнь 2014г. по 0,4'!D138</f>
        <v>0</v>
      </c>
      <c r="E141" s="31">
        <f>'июнь 2014г. по 6-10'!E141+'июнь 2014г. по 0,4'!E138</f>
        <v>0</v>
      </c>
      <c r="F141" s="31">
        <f>'июнь 2014г. по 6-10'!F141+'июнь 2014г. по 0,4'!F138</f>
        <v>0</v>
      </c>
      <c r="G141" s="31">
        <f>'июнь 2014г. по 6-10'!G141+'июнь 2014г. по 0,4'!G138</f>
        <v>0</v>
      </c>
      <c r="H141" s="31">
        <f>'июнь 2014г. по 6-10'!H141+'июнь 2014г. по 0,4'!H138</f>
        <v>0</v>
      </c>
      <c r="I141" s="31">
        <f>'июнь 2014г. по 6-10'!I141+'июнь 2014г. по 0,4'!I138</f>
        <v>0</v>
      </c>
      <c r="J141" s="31">
        <f>'июнь 2014г. по 6-10'!J141+'июнь 2014г. по 0,4'!J138</f>
        <v>0</v>
      </c>
      <c r="K141" s="31">
        <f>'июнь 2014г. по 6-10'!K141+'июнь 2014г. по 0,4'!K138</f>
        <v>0</v>
      </c>
      <c r="L141" s="31">
        <f>'июнь 2014г. по 6-10'!L141+'июнь 2014г. по 0,4'!L138</f>
        <v>0</v>
      </c>
      <c r="M141" s="31">
        <f>'июнь 2014г. по 6-10'!M141+'июнь 2014г. по 0,4'!M138</f>
        <v>0</v>
      </c>
      <c r="N141" s="31">
        <f>'июнь 2014г. по 6-10'!N141+'июнь 2014г. по 0,4'!N138</f>
        <v>0</v>
      </c>
      <c r="O141" s="31">
        <f>'июнь 2014г. по 6-10'!O141+'июнь 2014г. по 0,4'!O138</f>
        <v>0</v>
      </c>
      <c r="P141" s="31">
        <f>'июнь 2014г. по 6-10'!P141+'июнь 2014г. по 0,4'!P138</f>
        <v>0</v>
      </c>
      <c r="Q141" s="31">
        <f>'июнь 2014г. по 6-10'!Q141+'июнь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'июнь 2014г. по 6-10'!D142+'июнь 2014г. по 0,4'!D139</f>
        <v>9</v>
      </c>
      <c r="E142" s="31">
        <f>'июнь 2014г. по 6-10'!E142+'июнь 2014г. по 0,4'!E139</f>
        <v>70</v>
      </c>
      <c r="F142" s="31">
        <f>'июнь 2014г. по 6-10'!F142+'июнь 2014г. по 0,4'!F139</f>
        <v>9</v>
      </c>
      <c r="G142" s="31">
        <f>'июнь 2014г. по 6-10'!G142+'июнь 2014г. по 0,4'!G139</f>
        <v>70</v>
      </c>
      <c r="H142" s="31">
        <f>'июнь 2014г. по 6-10'!H142+'июнь 2014г. по 0,4'!H139</f>
        <v>0</v>
      </c>
      <c r="I142" s="31">
        <f>'июнь 2014г. по 6-10'!I142+'июнь 2014г. по 0,4'!I139</f>
        <v>0</v>
      </c>
      <c r="J142" s="31">
        <f>'июнь 2014г. по 6-10'!J142+'июнь 2014г. по 0,4'!J139</f>
        <v>0</v>
      </c>
      <c r="K142" s="31">
        <f>'июнь 2014г. по 6-10'!K142+'июнь 2014г. по 0,4'!K139</f>
        <v>0</v>
      </c>
      <c r="L142" s="31">
        <f>'июнь 2014г. по 6-10'!L142+'июнь 2014г. по 0,4'!L139</f>
        <v>0</v>
      </c>
      <c r="M142" s="31">
        <f>'июнь 2014г. по 6-10'!M142+'июнь 2014г. по 0,4'!M139</f>
        <v>0</v>
      </c>
      <c r="N142" s="31">
        <f>'июнь 2014г. по 6-10'!N142+'июнь 2014г. по 0,4'!N139</f>
        <v>0</v>
      </c>
      <c r="O142" s="31">
        <f>'июнь 2014г. по 6-10'!O142+'июнь 2014г. по 0,4'!O139</f>
        <v>0</v>
      </c>
      <c r="P142" s="31">
        <f>'июнь 2014г. по 6-10'!P142+'июнь 2014г. по 0,4'!P139</f>
        <v>0</v>
      </c>
      <c r="Q142" s="31">
        <f>'июнь 2014г. по 6-10'!Q142+'июнь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'июнь 2014г. по 6-10'!D143+'июнь 2014г. по 0,4'!D140</f>
        <v>3</v>
      </c>
      <c r="E143" s="31">
        <f>'июнь 2014г. по 6-10'!E143+'июнь 2014г. по 0,4'!E140</f>
        <v>30</v>
      </c>
      <c r="F143" s="31">
        <f>'июнь 2014г. по 6-10'!F143+'июнь 2014г. по 0,4'!F140</f>
        <v>3</v>
      </c>
      <c r="G143" s="31">
        <f>'июнь 2014г. по 6-10'!G143+'июнь 2014г. по 0,4'!G140</f>
        <v>30</v>
      </c>
      <c r="H143" s="31">
        <f>'июнь 2014г. по 6-10'!H143+'июнь 2014г. по 0,4'!H140</f>
        <v>0</v>
      </c>
      <c r="I143" s="31">
        <f>'июнь 2014г. по 6-10'!I143+'июнь 2014г. по 0,4'!I140</f>
        <v>0</v>
      </c>
      <c r="J143" s="31">
        <f>'июнь 2014г. по 6-10'!J143+'июнь 2014г. по 0,4'!J140</f>
        <v>0</v>
      </c>
      <c r="K143" s="31">
        <f>'июнь 2014г. по 6-10'!K143+'июнь 2014г. по 0,4'!K140</f>
        <v>0</v>
      </c>
      <c r="L143" s="31">
        <f>'июнь 2014г. по 6-10'!L143+'июнь 2014г. по 0,4'!L140</f>
        <v>0</v>
      </c>
      <c r="M143" s="31">
        <f>'июнь 2014г. по 6-10'!M143+'июнь 2014г. по 0,4'!M140</f>
        <v>0</v>
      </c>
      <c r="N143" s="31">
        <f>'июнь 2014г. по 6-10'!N143+'июнь 2014г. по 0,4'!N140</f>
        <v>0</v>
      </c>
      <c r="O143" s="31">
        <f>'июнь 2014г. по 6-10'!O143+'июнь 2014г. по 0,4'!O140</f>
        <v>0</v>
      </c>
      <c r="P143" s="31">
        <f>'июнь 2014г. по 6-10'!P143+'июнь 2014г. по 0,4'!P140</f>
        <v>0</v>
      </c>
      <c r="Q143" s="31">
        <f>'июнь 2014г. по 6-10'!Q143+'июнь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'июнь 2014г. по 6-10'!D144+'июнь 2014г. по 0,4'!D141</f>
        <v>0</v>
      </c>
      <c r="E144" s="31">
        <f>'июнь 2014г. по 6-10'!E144+'июнь 2014г. по 0,4'!E141</f>
        <v>0</v>
      </c>
      <c r="F144" s="31">
        <f>'июнь 2014г. по 6-10'!F144+'июнь 2014г. по 0,4'!F141</f>
        <v>0</v>
      </c>
      <c r="G144" s="31">
        <f>'июнь 2014г. по 6-10'!G144+'июнь 2014г. по 0,4'!G141</f>
        <v>0</v>
      </c>
      <c r="H144" s="31">
        <f>'июнь 2014г. по 6-10'!H144+'июнь 2014г. по 0,4'!H141</f>
        <v>0</v>
      </c>
      <c r="I144" s="31">
        <f>'июнь 2014г. по 6-10'!I144+'июнь 2014г. по 0,4'!I141</f>
        <v>0</v>
      </c>
      <c r="J144" s="31">
        <f>'июнь 2014г. по 6-10'!J144+'июнь 2014г. по 0,4'!J141</f>
        <v>0</v>
      </c>
      <c r="K144" s="31">
        <f>'июнь 2014г. по 6-10'!K144+'июнь 2014г. по 0,4'!K141</f>
        <v>0</v>
      </c>
      <c r="L144" s="31">
        <f>'июнь 2014г. по 6-10'!L144+'июнь 2014г. по 0,4'!L141</f>
        <v>0</v>
      </c>
      <c r="M144" s="31">
        <f>'июнь 2014г. по 6-10'!M144+'июнь 2014г. по 0,4'!M141</f>
        <v>0</v>
      </c>
      <c r="N144" s="31">
        <f>'июнь 2014г. по 6-10'!N144+'июнь 2014г. по 0,4'!N141</f>
        <v>0</v>
      </c>
      <c r="O144" s="31">
        <f>'июнь 2014г. по 6-10'!O144+'июнь 2014г. по 0,4'!O141</f>
        <v>0</v>
      </c>
      <c r="P144" s="31">
        <f>'июнь 2014г. по 6-10'!P144+'июнь 2014г. по 0,4'!P141</f>
        <v>0</v>
      </c>
      <c r="Q144" s="31">
        <f>'июнь 2014г. по 6-10'!Q144+'июнь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'июнь 2014г. по 6-10'!D145+'июнь 2014г. по 0,4'!D142</f>
        <v>3</v>
      </c>
      <c r="E145" s="31">
        <f>'июнь 2014г. по 6-10'!E145+'июнь 2014г. по 0,4'!E142</f>
        <v>34</v>
      </c>
      <c r="F145" s="31">
        <f>'июнь 2014г. по 6-10'!F145+'июнь 2014г. по 0,4'!F142</f>
        <v>3</v>
      </c>
      <c r="G145" s="31">
        <f>'июнь 2014г. по 6-10'!G145+'июнь 2014г. по 0,4'!G142</f>
        <v>34</v>
      </c>
      <c r="H145" s="31">
        <f>'июнь 2014г. по 6-10'!H145+'июнь 2014г. по 0,4'!H142</f>
        <v>0</v>
      </c>
      <c r="I145" s="31">
        <f>'июнь 2014г. по 6-10'!I145+'июнь 2014г. по 0,4'!I142</f>
        <v>0</v>
      </c>
      <c r="J145" s="31">
        <f>'июнь 2014г. по 6-10'!J145+'июнь 2014г. по 0,4'!J142</f>
        <v>0</v>
      </c>
      <c r="K145" s="31">
        <f>'июнь 2014г. по 6-10'!K145+'июнь 2014г. по 0,4'!K142</f>
        <v>0</v>
      </c>
      <c r="L145" s="31">
        <f>'июнь 2014г. по 6-10'!L145+'июнь 2014г. по 0,4'!L142</f>
        <v>0</v>
      </c>
      <c r="M145" s="31">
        <f>'июнь 2014г. по 6-10'!M145+'июнь 2014г. по 0,4'!M142</f>
        <v>0</v>
      </c>
      <c r="N145" s="31">
        <f>'июнь 2014г. по 6-10'!N145+'июнь 2014г. по 0,4'!N142</f>
        <v>0</v>
      </c>
      <c r="O145" s="31">
        <f>'июнь 2014г. по 6-10'!O145+'июнь 2014г. по 0,4'!O142</f>
        <v>0</v>
      </c>
      <c r="P145" s="31">
        <f>'июнь 2014г. по 6-10'!P145+'июнь 2014г. по 0,4'!P142</f>
        <v>0</v>
      </c>
      <c r="Q145" s="31">
        <f>'июнь 2014г. по 6-10'!Q145+'июнь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'июнь 2014г. по 6-10'!D146+'июнь 2014г. по 0,4'!D143</f>
        <v>1</v>
      </c>
      <c r="E146" s="31">
        <f>'июнь 2014г. по 6-10'!E146+'июнь 2014г. по 0,4'!E143</f>
        <v>12</v>
      </c>
      <c r="F146" s="31">
        <f>'июнь 2014г. по 6-10'!F146+'июнь 2014г. по 0,4'!F143</f>
        <v>1</v>
      </c>
      <c r="G146" s="31">
        <f>'июнь 2014г. по 6-10'!G146+'июнь 2014г. по 0,4'!G143</f>
        <v>12</v>
      </c>
      <c r="H146" s="31">
        <f>'июнь 2014г. по 6-10'!H146+'июнь 2014г. по 0,4'!H143</f>
        <v>0</v>
      </c>
      <c r="I146" s="31">
        <f>'июнь 2014г. по 6-10'!I146+'июнь 2014г. по 0,4'!I143</f>
        <v>0</v>
      </c>
      <c r="J146" s="31">
        <f>'июнь 2014г. по 6-10'!J146+'июнь 2014г. по 0,4'!J143</f>
        <v>0</v>
      </c>
      <c r="K146" s="31">
        <f>'июнь 2014г. по 6-10'!K146+'июнь 2014г. по 0,4'!K143</f>
        <v>0</v>
      </c>
      <c r="L146" s="31">
        <f>'июнь 2014г. по 6-10'!L146+'июнь 2014г. по 0,4'!L143</f>
        <v>0</v>
      </c>
      <c r="M146" s="31">
        <f>'июнь 2014г. по 6-10'!M146+'июнь 2014г. по 0,4'!M143</f>
        <v>0</v>
      </c>
      <c r="N146" s="31">
        <f>'июнь 2014г. по 6-10'!N146+'июнь 2014г. по 0,4'!N143</f>
        <v>0</v>
      </c>
      <c r="O146" s="31">
        <f>'июнь 2014г. по 6-10'!O146+'июнь 2014г. по 0,4'!O143</f>
        <v>0</v>
      </c>
      <c r="P146" s="31">
        <f>'июнь 2014г. по 6-10'!P146+'июнь 2014г. по 0,4'!P143</f>
        <v>0</v>
      </c>
      <c r="Q146" s="31">
        <f>'июнь 2014г. по 6-10'!Q146+'июнь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'июнь 2014г. по 6-10'!D147+'июнь 2014г. по 0,4'!D144</f>
        <v>11</v>
      </c>
      <c r="E147" s="31">
        <f>'июнь 2014г. по 6-10'!E147+'июнь 2014г. по 0,4'!E144</f>
        <v>57.2</v>
      </c>
      <c r="F147" s="31">
        <f>'июнь 2014г. по 6-10'!F147+'июнь 2014г. по 0,4'!F144</f>
        <v>11</v>
      </c>
      <c r="G147" s="31">
        <f>'июнь 2014г. по 6-10'!G147+'июнь 2014г. по 0,4'!G144</f>
        <v>57.2</v>
      </c>
      <c r="H147" s="31">
        <f>'июнь 2014г. по 6-10'!H147+'июнь 2014г. по 0,4'!H144</f>
        <v>0</v>
      </c>
      <c r="I147" s="31">
        <f>'июнь 2014г. по 6-10'!I147+'июнь 2014г. по 0,4'!I144</f>
        <v>0</v>
      </c>
      <c r="J147" s="31">
        <f>'июнь 2014г. по 6-10'!J147+'июнь 2014г. по 0,4'!J144</f>
        <v>0</v>
      </c>
      <c r="K147" s="31">
        <f>'июнь 2014г. по 6-10'!K147+'июнь 2014г. по 0,4'!K144</f>
        <v>0</v>
      </c>
      <c r="L147" s="31">
        <f>'июнь 2014г. по 6-10'!L147+'июнь 2014г. по 0,4'!L144</f>
        <v>0</v>
      </c>
      <c r="M147" s="31">
        <f>'июнь 2014г. по 6-10'!M147+'июнь 2014г. по 0,4'!M144</f>
        <v>0</v>
      </c>
      <c r="N147" s="31">
        <f>'июнь 2014г. по 6-10'!N147+'июнь 2014г. по 0,4'!N144</f>
        <v>0</v>
      </c>
      <c r="O147" s="31">
        <f>'июнь 2014г. по 6-10'!O147+'июнь 2014г. по 0,4'!O144</f>
        <v>0</v>
      </c>
      <c r="P147" s="31">
        <f>'июнь 2014г. по 6-10'!P147+'июнь 2014г. по 0,4'!P144</f>
        <v>0</v>
      </c>
      <c r="Q147" s="31">
        <f>'июнь 2014г. по 6-10'!Q147+'июнь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'июнь 2014г. по 6-10'!D148+'июнь 2014г. по 0,4'!D145</f>
        <v>2</v>
      </c>
      <c r="E148" s="31">
        <f>'июнь 2014г. по 6-10'!E148+'июнь 2014г. по 0,4'!E145</f>
        <v>11</v>
      </c>
      <c r="F148" s="31">
        <f>'июнь 2014г. по 6-10'!F148+'июнь 2014г. по 0,4'!F145</f>
        <v>2</v>
      </c>
      <c r="G148" s="31">
        <f>'июнь 2014г. по 6-10'!G148+'июнь 2014г. по 0,4'!G145</f>
        <v>11</v>
      </c>
      <c r="H148" s="31">
        <f>'июнь 2014г. по 6-10'!H148+'июнь 2014г. по 0,4'!H145</f>
        <v>0</v>
      </c>
      <c r="I148" s="31">
        <f>'июнь 2014г. по 6-10'!I148+'июнь 2014г. по 0,4'!I145</f>
        <v>0</v>
      </c>
      <c r="J148" s="31">
        <f>'июнь 2014г. по 6-10'!J148+'июнь 2014г. по 0,4'!J145</f>
        <v>1</v>
      </c>
      <c r="K148" s="31">
        <f>'июнь 2014г. по 6-10'!K148+'июнь 2014г. по 0,4'!K145</f>
        <v>5</v>
      </c>
      <c r="L148" s="31">
        <f>'июнь 2014г. по 6-10'!L148+'июнь 2014г. по 0,4'!L145</f>
        <v>0</v>
      </c>
      <c r="M148" s="31">
        <f>'июнь 2014г. по 6-10'!M148+'июнь 2014г. по 0,4'!M145</f>
        <v>0</v>
      </c>
      <c r="N148" s="31">
        <f>'июнь 2014г. по 6-10'!N148+'июнь 2014г. по 0,4'!N145</f>
        <v>0</v>
      </c>
      <c r="O148" s="31">
        <f>'июнь 2014г. по 6-10'!O148+'июнь 2014г. по 0,4'!O145</f>
        <v>0</v>
      </c>
      <c r="P148" s="31">
        <f>'июнь 2014г. по 6-10'!P148+'июнь 2014г. по 0,4'!P145</f>
        <v>0</v>
      </c>
      <c r="Q148" s="31">
        <f>'июнь 2014г. по 6-10'!Q148+'июнь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'июнь 2014г. по 6-10'!D149+'июнь 2014г. по 0,4'!D146</f>
        <v>2</v>
      </c>
      <c r="E149" s="31">
        <f>'июнь 2014г. по 6-10'!E149+'июнь 2014г. по 0,4'!E146</f>
        <v>6</v>
      </c>
      <c r="F149" s="31">
        <f>'июнь 2014г. по 6-10'!F149+'июнь 2014г. по 0,4'!F146</f>
        <v>2</v>
      </c>
      <c r="G149" s="31">
        <f>'июнь 2014г. по 6-10'!G149+'июнь 2014г. по 0,4'!G146</f>
        <v>6</v>
      </c>
      <c r="H149" s="31">
        <f>'июнь 2014г. по 6-10'!H149+'июнь 2014г. по 0,4'!H146</f>
        <v>0</v>
      </c>
      <c r="I149" s="31">
        <f>'июнь 2014г. по 6-10'!I149+'июнь 2014г. по 0,4'!I146</f>
        <v>0</v>
      </c>
      <c r="J149" s="31">
        <f>'июнь 2014г. по 6-10'!J149+'июнь 2014г. по 0,4'!J146</f>
        <v>0</v>
      </c>
      <c r="K149" s="31">
        <f>'июнь 2014г. по 6-10'!K149+'июнь 2014г. по 0,4'!K146</f>
        <v>0</v>
      </c>
      <c r="L149" s="31">
        <f>'июнь 2014г. по 6-10'!L149+'июнь 2014г. по 0,4'!L146</f>
        <v>0</v>
      </c>
      <c r="M149" s="31">
        <f>'июнь 2014г. по 6-10'!M149+'июнь 2014г. по 0,4'!M146</f>
        <v>0</v>
      </c>
      <c r="N149" s="31">
        <f>'июнь 2014г. по 6-10'!N149+'июнь 2014г. по 0,4'!N146</f>
        <v>0</v>
      </c>
      <c r="O149" s="31">
        <f>'июнь 2014г. по 6-10'!O149+'июнь 2014г. по 0,4'!O146</f>
        <v>0</v>
      </c>
      <c r="P149" s="31">
        <f>'июнь 2014г. по 6-10'!P149+'июнь 2014г. по 0,4'!P146</f>
        <v>0</v>
      </c>
      <c r="Q149" s="31">
        <f>'июнь 2014г. по 6-10'!Q149+'июнь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'июнь 2014г. по 6-10'!D150+'июнь 2014г. по 0,4'!D147</f>
        <v>7</v>
      </c>
      <c r="E150" s="31">
        <f>'июнь 2014г. по 6-10'!E150+'июнь 2014г. по 0,4'!E147</f>
        <v>61.5</v>
      </c>
      <c r="F150" s="31">
        <f>'июнь 2014г. по 6-10'!F150+'июнь 2014г. по 0,4'!F147</f>
        <v>7</v>
      </c>
      <c r="G150" s="31">
        <f>'июнь 2014г. по 6-10'!G150+'июнь 2014г. по 0,4'!G147</f>
        <v>61.5</v>
      </c>
      <c r="H150" s="31">
        <f>'июнь 2014г. по 6-10'!H150+'июнь 2014г. по 0,4'!H147</f>
        <v>0</v>
      </c>
      <c r="I150" s="31">
        <f>'июнь 2014г. по 6-10'!I150+'июнь 2014г. по 0,4'!I147</f>
        <v>0</v>
      </c>
      <c r="J150" s="31">
        <f>'июнь 2014г. по 6-10'!J150+'июнь 2014г. по 0,4'!J147</f>
        <v>0</v>
      </c>
      <c r="K150" s="31">
        <f>'июнь 2014г. по 6-10'!K150+'июнь 2014г. по 0,4'!K147</f>
        <v>0</v>
      </c>
      <c r="L150" s="31">
        <f>'июнь 2014г. по 6-10'!L150+'июнь 2014г. по 0,4'!L147</f>
        <v>0</v>
      </c>
      <c r="M150" s="31">
        <f>'июнь 2014г. по 6-10'!M150+'июнь 2014г. по 0,4'!M147</f>
        <v>0</v>
      </c>
      <c r="N150" s="31">
        <f>'июнь 2014г. по 6-10'!N150+'июнь 2014г. по 0,4'!N147</f>
        <v>0</v>
      </c>
      <c r="O150" s="31">
        <f>'июнь 2014г. по 6-10'!O150+'июнь 2014г. по 0,4'!O147</f>
        <v>0</v>
      </c>
      <c r="P150" s="31">
        <f>'июнь 2014г. по 6-10'!P150+'июнь 2014г. по 0,4'!P147</f>
        <v>0</v>
      </c>
      <c r="Q150" s="31">
        <f>'июнь 2014г. по 6-10'!Q150+'июнь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'июнь 2014г. по 6-10'!D151+'июнь 2014г. по 0,4'!D148</f>
        <v>1</v>
      </c>
      <c r="E151" s="31">
        <f>'июнь 2014г. по 6-10'!E151+'июнь 2014г. по 0,4'!E148</f>
        <v>3</v>
      </c>
      <c r="F151" s="31">
        <f>'июнь 2014г. по 6-10'!F151+'июнь 2014г. по 0,4'!F148</f>
        <v>1</v>
      </c>
      <c r="G151" s="31">
        <f>'июнь 2014г. по 6-10'!G151+'июнь 2014г. по 0,4'!G148</f>
        <v>3</v>
      </c>
      <c r="H151" s="31">
        <f>'июнь 2014г. по 6-10'!H151+'июнь 2014г. по 0,4'!H148</f>
        <v>0</v>
      </c>
      <c r="I151" s="31">
        <f>'июнь 2014г. по 6-10'!I151+'июнь 2014г. по 0,4'!I148</f>
        <v>0</v>
      </c>
      <c r="J151" s="31">
        <f>'июнь 2014г. по 6-10'!J151+'июнь 2014г. по 0,4'!J148</f>
        <v>0</v>
      </c>
      <c r="K151" s="31">
        <f>'июнь 2014г. по 6-10'!K151+'июнь 2014г. по 0,4'!K148</f>
        <v>0</v>
      </c>
      <c r="L151" s="31">
        <f>'июнь 2014г. по 6-10'!L151+'июнь 2014г. по 0,4'!L148</f>
        <v>0</v>
      </c>
      <c r="M151" s="31">
        <f>'июнь 2014г. по 6-10'!M151+'июнь 2014г. по 0,4'!M148</f>
        <v>0</v>
      </c>
      <c r="N151" s="31">
        <f>'июнь 2014г. по 6-10'!N151+'июнь 2014г. по 0,4'!N148</f>
        <v>0</v>
      </c>
      <c r="O151" s="31">
        <f>'июнь 2014г. по 6-10'!O151+'июнь 2014г. по 0,4'!O148</f>
        <v>0</v>
      </c>
      <c r="P151" s="31">
        <f>'июнь 2014г. по 6-10'!P151+'июнь 2014г. по 0,4'!P148</f>
        <v>0</v>
      </c>
      <c r="Q151" s="31">
        <f>'июнь 2014г. по 6-10'!Q151+'июнь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'июнь 2014г. по 6-10'!D152+'июнь 2014г. по 0,4'!D149</f>
        <v>0</v>
      </c>
      <c r="E152" s="31">
        <f>'июнь 2014г. по 6-10'!E152+'июнь 2014г. по 0,4'!E149</f>
        <v>0</v>
      </c>
      <c r="F152" s="31">
        <f>'июнь 2014г. по 6-10'!F152+'июнь 2014г. по 0,4'!F149</f>
        <v>0</v>
      </c>
      <c r="G152" s="31">
        <f>'июнь 2014г. по 6-10'!G152+'июнь 2014г. по 0,4'!G149</f>
        <v>0</v>
      </c>
      <c r="H152" s="31">
        <f>'июнь 2014г. по 6-10'!H152+'июнь 2014г. по 0,4'!H149</f>
        <v>0</v>
      </c>
      <c r="I152" s="31">
        <f>'июнь 2014г. по 6-10'!I152+'июнь 2014г. по 0,4'!I149</f>
        <v>0</v>
      </c>
      <c r="J152" s="31">
        <f>'июнь 2014г. по 6-10'!J152+'июнь 2014г. по 0,4'!J149</f>
        <v>0</v>
      </c>
      <c r="K152" s="31">
        <f>'июнь 2014г. по 6-10'!K152+'июнь 2014г. по 0,4'!K149</f>
        <v>0</v>
      </c>
      <c r="L152" s="31">
        <f>'июнь 2014г. по 6-10'!L152+'июнь 2014г. по 0,4'!L149</f>
        <v>0</v>
      </c>
      <c r="M152" s="31">
        <f>'июнь 2014г. по 6-10'!M152+'июнь 2014г. по 0,4'!M149</f>
        <v>0</v>
      </c>
      <c r="N152" s="31">
        <f>'июнь 2014г. по 6-10'!N152+'июнь 2014г. по 0,4'!N149</f>
        <v>0</v>
      </c>
      <c r="O152" s="31">
        <f>'июнь 2014г. по 6-10'!O152+'июнь 2014г. по 0,4'!O149</f>
        <v>0</v>
      </c>
      <c r="P152" s="31">
        <f>'июнь 2014г. по 6-10'!P152+'июнь 2014г. по 0,4'!P149</f>
        <v>0</v>
      </c>
      <c r="Q152" s="31">
        <f>'июнь 2014г. по 6-10'!Q152+'июнь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85">
        <f>SUM(D104:D152)</f>
        <v>253</v>
      </c>
      <c r="E153" s="85">
        <f t="shared" ref="E153:Q153" si="2">SUM(E104:E152)</f>
        <v>9033.6999999999989</v>
      </c>
      <c r="F153" s="85">
        <f t="shared" si="2"/>
        <v>253</v>
      </c>
      <c r="G153" s="85">
        <f t="shared" si="2"/>
        <v>9033.6999999999989</v>
      </c>
      <c r="H153" s="85">
        <f t="shared" si="2"/>
        <v>0</v>
      </c>
      <c r="I153" s="85">
        <f t="shared" si="2"/>
        <v>0</v>
      </c>
      <c r="J153" s="85">
        <f t="shared" si="2"/>
        <v>10</v>
      </c>
      <c r="K153" s="85">
        <f t="shared" si="2"/>
        <v>79</v>
      </c>
      <c r="L153" s="85">
        <f t="shared" si="2"/>
        <v>0</v>
      </c>
      <c r="M153" s="85">
        <f t="shared" si="2"/>
        <v>0</v>
      </c>
      <c r="N153" s="85">
        <f t="shared" si="2"/>
        <v>0</v>
      </c>
      <c r="O153" s="85">
        <f t="shared" si="2"/>
        <v>0</v>
      </c>
      <c r="P153" s="85">
        <f t="shared" si="2"/>
        <v>0</v>
      </c>
      <c r="Q153" s="85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'июнь 2014г. по 6-10'!D155+'июнь 2014г. по 0,4'!D152</f>
        <v>10</v>
      </c>
      <c r="E155" s="31">
        <f>'июнь 2014г. по 6-10'!E155+'июнь 2014г. по 0,4'!E152</f>
        <v>137.80000000000001</v>
      </c>
      <c r="F155" s="31">
        <f>'июнь 2014г. по 6-10'!F155+'июнь 2014г. по 0,4'!F152</f>
        <v>10</v>
      </c>
      <c r="G155" s="31">
        <f>'июнь 2014г. по 6-10'!G155+'июнь 2014г. по 0,4'!G152</f>
        <v>137.80000000000001</v>
      </c>
      <c r="H155" s="31">
        <f>'июнь 2014г. по 6-10'!H155+'июнь 2014г. по 0,4'!H152</f>
        <v>0</v>
      </c>
      <c r="I155" s="31">
        <f>'июнь 2014г. по 6-10'!I155+'июнь 2014г. по 0,4'!I152</f>
        <v>0</v>
      </c>
      <c r="J155" s="31">
        <f>'июнь 2014г. по 6-10'!J155+'июнь 2014г. по 0,4'!J152</f>
        <v>0</v>
      </c>
      <c r="K155" s="31">
        <f>'июнь 2014г. по 6-10'!K155+'июнь 2014г. по 0,4'!K152</f>
        <v>0</v>
      </c>
      <c r="L155" s="31">
        <f>'июнь 2014г. по 6-10'!L155+'июнь 2014г. по 0,4'!L152</f>
        <v>0</v>
      </c>
      <c r="M155" s="31">
        <f>'июнь 2014г. по 6-10'!M155+'июнь 2014г. по 0,4'!M152</f>
        <v>0</v>
      </c>
      <c r="N155" s="31">
        <f>'июнь 2014г. по 6-10'!N155+'июнь 2014г. по 0,4'!N152</f>
        <v>0</v>
      </c>
      <c r="O155" s="31">
        <f>'июнь 2014г. по 6-10'!O155+'июнь 2014г. по 0,4'!O152</f>
        <v>0</v>
      </c>
      <c r="P155" s="31">
        <f>'июнь 2014г. по 6-10'!P155+'июнь 2014г. по 0,4'!P152</f>
        <v>0</v>
      </c>
      <c r="Q155" s="31">
        <f>'июнь 2014г. по 6-10'!Q155+'июнь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'июнь 2014г. по 6-10'!D156+'июнь 2014г. по 0,4'!D153</f>
        <v>2</v>
      </c>
      <c r="E156" s="31">
        <f>'июнь 2014г. по 6-10'!E156+'июнь 2014г. по 0,4'!E153</f>
        <v>30</v>
      </c>
      <c r="F156" s="31">
        <f>'июнь 2014г. по 6-10'!F156+'июнь 2014г. по 0,4'!F153</f>
        <v>2</v>
      </c>
      <c r="G156" s="31">
        <f>'июнь 2014г. по 6-10'!G156+'июнь 2014г. по 0,4'!G153</f>
        <v>30</v>
      </c>
      <c r="H156" s="31">
        <f>'июнь 2014г. по 6-10'!H156+'июнь 2014г. по 0,4'!H153</f>
        <v>20</v>
      </c>
      <c r="I156" s="31">
        <f>'июнь 2014г. по 6-10'!I156+'июнь 2014г. по 0,4'!I153</f>
        <v>0</v>
      </c>
      <c r="J156" s="31">
        <f>'июнь 2014г. по 6-10'!J156+'июнь 2014г. по 0,4'!J153</f>
        <v>0</v>
      </c>
      <c r="K156" s="31">
        <f>'июнь 2014г. по 6-10'!K156+'июнь 2014г. по 0,4'!K153</f>
        <v>0</v>
      </c>
      <c r="L156" s="31">
        <f>'июнь 2014г. по 6-10'!L156+'июнь 2014г. по 0,4'!L153</f>
        <v>0</v>
      </c>
      <c r="M156" s="31">
        <f>'июнь 2014г. по 6-10'!M156+'июнь 2014г. по 0,4'!M153</f>
        <v>0</v>
      </c>
      <c r="N156" s="31">
        <f>'июнь 2014г. по 6-10'!N156+'июнь 2014г. по 0,4'!N153</f>
        <v>0</v>
      </c>
      <c r="O156" s="31">
        <f>'июнь 2014г. по 6-10'!O156+'июнь 2014г. по 0,4'!O153</f>
        <v>0</v>
      </c>
      <c r="P156" s="31">
        <f>'июнь 2014г. по 6-10'!P156+'июнь 2014г. по 0,4'!P153</f>
        <v>0</v>
      </c>
      <c r="Q156" s="31">
        <f>'июнь 2014г. по 6-10'!Q156+'июнь 2014г. по 0,4'!Q153</f>
        <v>0</v>
      </c>
    </row>
    <row r="157" spans="1:17" ht="12.75" customHeight="1" x14ac:dyDescent="0.2">
      <c r="A157" s="18"/>
      <c r="B157" s="18"/>
      <c r="C157" s="18" t="s">
        <v>347</v>
      </c>
      <c r="D157" s="31">
        <f>'июнь 2014г. по 6-10'!D157+'июнь 2014г. по 0,4'!D154</f>
        <v>0</v>
      </c>
      <c r="E157" s="31">
        <f>'июнь 2014г. по 6-10'!E157+'июнь 2014г. по 0,4'!E154</f>
        <v>0</v>
      </c>
      <c r="F157" s="31">
        <f>'июнь 2014г. по 6-10'!F157+'июнь 2014г. по 0,4'!F154</f>
        <v>0</v>
      </c>
      <c r="G157" s="31">
        <f>'июнь 2014г. по 6-10'!G157+'июнь 2014г. по 0,4'!G154</f>
        <v>0</v>
      </c>
      <c r="H157" s="31">
        <f>'июнь 2014г. по 6-10'!H157+'июнь 2014г. по 0,4'!H154</f>
        <v>0</v>
      </c>
      <c r="I157" s="31">
        <f>'июнь 2014г. по 6-10'!I157+'июнь 2014г. по 0,4'!I154</f>
        <v>0</v>
      </c>
      <c r="J157" s="31">
        <f>'июнь 2014г. по 6-10'!J157+'июнь 2014г. по 0,4'!J154</f>
        <v>0</v>
      </c>
      <c r="K157" s="31">
        <f>'июнь 2014г. по 6-10'!K157+'июнь 2014г. по 0,4'!K154</f>
        <v>0</v>
      </c>
      <c r="L157" s="31">
        <f>'июнь 2014г. по 6-10'!L157+'июнь 2014г. по 0,4'!L154</f>
        <v>0</v>
      </c>
      <c r="M157" s="31">
        <f>'июнь 2014г. по 6-10'!M157+'июнь 2014г. по 0,4'!M154</f>
        <v>0</v>
      </c>
      <c r="N157" s="31">
        <f>'июнь 2014г. по 6-10'!N157+'июнь 2014г. по 0,4'!N154</f>
        <v>0</v>
      </c>
      <c r="O157" s="31">
        <f>'июнь 2014г. по 6-10'!O157+'июнь 2014г. по 0,4'!O154</f>
        <v>0</v>
      </c>
      <c r="P157" s="31">
        <f>'июнь 2014г. по 6-10'!P157+'июнь 2014г. по 0,4'!P154</f>
        <v>0</v>
      </c>
      <c r="Q157" s="31">
        <f>'июнь 2014г. по 6-10'!Q157+'июнь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'июнь 2014г. по 6-10'!D158+'июнь 2014г. по 0,4'!D155</f>
        <v>0</v>
      </c>
      <c r="E158" s="31">
        <f>'июнь 2014г. по 6-10'!E158+'июнь 2014г. по 0,4'!E155</f>
        <v>0</v>
      </c>
      <c r="F158" s="31">
        <f>'июнь 2014г. по 6-10'!F158+'июнь 2014г. по 0,4'!F155</f>
        <v>0</v>
      </c>
      <c r="G158" s="31">
        <f>'июнь 2014г. по 6-10'!G158+'июнь 2014г. по 0,4'!G155</f>
        <v>0</v>
      </c>
      <c r="H158" s="31">
        <f>'июнь 2014г. по 6-10'!H158+'июнь 2014г. по 0,4'!H155</f>
        <v>0</v>
      </c>
      <c r="I158" s="31">
        <f>'июнь 2014г. по 6-10'!I158+'июнь 2014г. по 0,4'!I155</f>
        <v>0</v>
      </c>
      <c r="J158" s="31">
        <f>'июнь 2014г. по 6-10'!J158+'июнь 2014г. по 0,4'!J155</f>
        <v>0</v>
      </c>
      <c r="K158" s="31">
        <f>'июнь 2014г. по 6-10'!K158+'июнь 2014г. по 0,4'!K155</f>
        <v>0</v>
      </c>
      <c r="L158" s="31">
        <f>'июнь 2014г. по 6-10'!L158+'июнь 2014г. по 0,4'!L155</f>
        <v>0</v>
      </c>
      <c r="M158" s="31">
        <f>'июнь 2014г. по 6-10'!M158+'июнь 2014г. по 0,4'!M155</f>
        <v>0</v>
      </c>
      <c r="N158" s="31">
        <f>'июнь 2014г. по 6-10'!N158+'июнь 2014г. по 0,4'!N155</f>
        <v>0</v>
      </c>
      <c r="O158" s="31">
        <f>'июнь 2014г. по 6-10'!O158+'июнь 2014г. по 0,4'!O155</f>
        <v>0</v>
      </c>
      <c r="P158" s="31">
        <f>'июнь 2014г. по 6-10'!P158+'июнь 2014г. по 0,4'!P155</f>
        <v>0</v>
      </c>
      <c r="Q158" s="31">
        <f>'июнь 2014г. по 6-10'!Q158+'июнь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'июнь 2014г. по 6-10'!D159+'июнь 2014г. по 0,4'!D156</f>
        <v>0</v>
      </c>
      <c r="E159" s="31">
        <f>'июнь 2014г. по 6-10'!E159+'июнь 2014г. по 0,4'!E156</f>
        <v>0</v>
      </c>
      <c r="F159" s="31">
        <f>'июнь 2014г. по 6-10'!F159+'июнь 2014г. по 0,4'!F156</f>
        <v>0</v>
      </c>
      <c r="G159" s="31">
        <f>'июнь 2014г. по 6-10'!G159+'июнь 2014г. по 0,4'!G156</f>
        <v>0</v>
      </c>
      <c r="H159" s="31">
        <f>'июнь 2014г. по 6-10'!H159+'июнь 2014г. по 0,4'!H156</f>
        <v>0</v>
      </c>
      <c r="I159" s="31">
        <f>'июнь 2014г. по 6-10'!I159+'июнь 2014г. по 0,4'!I156</f>
        <v>0</v>
      </c>
      <c r="J159" s="31">
        <f>'июнь 2014г. по 6-10'!J159+'июнь 2014г. по 0,4'!J156</f>
        <v>0</v>
      </c>
      <c r="K159" s="31">
        <f>'июнь 2014г. по 6-10'!K159+'июнь 2014г. по 0,4'!K156</f>
        <v>0</v>
      </c>
      <c r="L159" s="31">
        <f>'июнь 2014г. по 6-10'!L159+'июнь 2014г. по 0,4'!L156</f>
        <v>0</v>
      </c>
      <c r="M159" s="31">
        <f>'июнь 2014г. по 6-10'!M159+'июнь 2014г. по 0,4'!M156</f>
        <v>0</v>
      </c>
      <c r="N159" s="31">
        <f>'июнь 2014г. по 6-10'!N159+'июнь 2014г. по 0,4'!N156</f>
        <v>0</v>
      </c>
      <c r="O159" s="31">
        <f>'июнь 2014г. по 6-10'!O159+'июнь 2014г. по 0,4'!O156</f>
        <v>0</v>
      </c>
      <c r="P159" s="31">
        <f>'июнь 2014г. по 6-10'!P159+'июнь 2014г. по 0,4'!P156</f>
        <v>0</v>
      </c>
      <c r="Q159" s="31">
        <f>'июнь 2014г. по 6-10'!Q159+'июнь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'июнь 2014г. по 6-10'!D160+'июнь 2014г. по 0,4'!D157</f>
        <v>2</v>
      </c>
      <c r="E160" s="31">
        <f>'июнь 2014г. по 6-10'!E160+'июнь 2014г. по 0,4'!E157</f>
        <v>35</v>
      </c>
      <c r="F160" s="31">
        <f>'июнь 2014г. по 6-10'!F160+'июнь 2014г. по 0,4'!F157</f>
        <v>2</v>
      </c>
      <c r="G160" s="31">
        <f>'июнь 2014г. по 6-10'!G160+'июнь 2014г. по 0,4'!G157</f>
        <v>35</v>
      </c>
      <c r="H160" s="31">
        <f>'июнь 2014г. по 6-10'!H160+'июнь 2014г. по 0,4'!H157</f>
        <v>0</v>
      </c>
      <c r="I160" s="31">
        <f>'июнь 2014г. по 6-10'!I160+'июнь 2014г. по 0,4'!I157</f>
        <v>0</v>
      </c>
      <c r="J160" s="31">
        <f>'июнь 2014г. по 6-10'!J160+'июнь 2014г. по 0,4'!J157</f>
        <v>0</v>
      </c>
      <c r="K160" s="31">
        <f>'июнь 2014г. по 6-10'!K160+'июнь 2014г. по 0,4'!K157</f>
        <v>0</v>
      </c>
      <c r="L160" s="31">
        <f>'июнь 2014г. по 6-10'!L160+'июнь 2014г. по 0,4'!L157</f>
        <v>0</v>
      </c>
      <c r="M160" s="31">
        <f>'июнь 2014г. по 6-10'!M160+'июнь 2014г. по 0,4'!M157</f>
        <v>0</v>
      </c>
      <c r="N160" s="31">
        <f>'июнь 2014г. по 6-10'!N160+'июнь 2014г. по 0,4'!N157</f>
        <v>0</v>
      </c>
      <c r="O160" s="31">
        <f>'июнь 2014г. по 6-10'!O160+'июнь 2014г. по 0,4'!O157</f>
        <v>0</v>
      </c>
      <c r="P160" s="31">
        <f>'июнь 2014г. по 6-10'!P160+'июнь 2014г. по 0,4'!P157</f>
        <v>0</v>
      </c>
      <c r="Q160" s="31">
        <f>'июнь 2014г. по 6-10'!Q160+'июнь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'июнь 2014г. по 6-10'!D161+'июнь 2014г. по 0,4'!D158</f>
        <v>0</v>
      </c>
      <c r="E161" s="31">
        <f>'июнь 2014г. по 6-10'!E161+'июнь 2014г. по 0,4'!E158</f>
        <v>0</v>
      </c>
      <c r="F161" s="31">
        <f>'июнь 2014г. по 6-10'!F161+'июнь 2014г. по 0,4'!F158</f>
        <v>0</v>
      </c>
      <c r="G161" s="31">
        <f>'июнь 2014г. по 6-10'!G161+'июнь 2014г. по 0,4'!G158</f>
        <v>0</v>
      </c>
      <c r="H161" s="31">
        <f>'июнь 2014г. по 6-10'!H161+'июнь 2014г. по 0,4'!H158</f>
        <v>0</v>
      </c>
      <c r="I161" s="31">
        <f>'июнь 2014г. по 6-10'!I161+'июнь 2014г. по 0,4'!I158</f>
        <v>0</v>
      </c>
      <c r="J161" s="31">
        <f>'июнь 2014г. по 6-10'!J161+'июнь 2014г. по 0,4'!J158</f>
        <v>0</v>
      </c>
      <c r="K161" s="31">
        <f>'июнь 2014г. по 6-10'!K161+'июнь 2014г. по 0,4'!K158</f>
        <v>0</v>
      </c>
      <c r="L161" s="31">
        <f>'июнь 2014г. по 6-10'!L161+'июнь 2014г. по 0,4'!L158</f>
        <v>0</v>
      </c>
      <c r="M161" s="31">
        <f>'июнь 2014г. по 6-10'!M161+'июнь 2014г. по 0,4'!M158</f>
        <v>0</v>
      </c>
      <c r="N161" s="31">
        <f>'июнь 2014г. по 6-10'!N161+'июнь 2014г. по 0,4'!N158</f>
        <v>0</v>
      </c>
      <c r="O161" s="31">
        <f>'июнь 2014г. по 6-10'!O161+'июнь 2014г. по 0,4'!O158</f>
        <v>0</v>
      </c>
      <c r="P161" s="31">
        <f>'июнь 2014г. по 6-10'!P161+'июнь 2014г. по 0,4'!P158</f>
        <v>0</v>
      </c>
      <c r="Q161" s="31">
        <f>'июнь 2014г. по 6-10'!Q161+'июнь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'июнь 2014г. по 6-10'!D162+'июнь 2014г. по 0,4'!D159</f>
        <v>0</v>
      </c>
      <c r="E162" s="31">
        <f>'июнь 2014г. по 6-10'!E162+'июнь 2014г. по 0,4'!E159</f>
        <v>0</v>
      </c>
      <c r="F162" s="31">
        <f>'июнь 2014г. по 6-10'!F162+'июнь 2014г. по 0,4'!F159</f>
        <v>0</v>
      </c>
      <c r="G162" s="31">
        <f>'июнь 2014г. по 6-10'!G162+'июнь 2014г. по 0,4'!G159</f>
        <v>0</v>
      </c>
      <c r="H162" s="31">
        <f>'июнь 2014г. по 6-10'!H162+'июнь 2014г. по 0,4'!H159</f>
        <v>0</v>
      </c>
      <c r="I162" s="31">
        <f>'июнь 2014г. по 6-10'!I162+'июнь 2014г. по 0,4'!I159</f>
        <v>0</v>
      </c>
      <c r="J162" s="31">
        <f>'июнь 2014г. по 6-10'!J162+'июнь 2014г. по 0,4'!J159</f>
        <v>0</v>
      </c>
      <c r="K162" s="31">
        <f>'июнь 2014г. по 6-10'!K162+'июнь 2014г. по 0,4'!K159</f>
        <v>0</v>
      </c>
      <c r="L162" s="31">
        <f>'июнь 2014г. по 6-10'!L162+'июнь 2014г. по 0,4'!L159</f>
        <v>0</v>
      </c>
      <c r="M162" s="31">
        <f>'июнь 2014г. по 6-10'!M162+'июнь 2014г. по 0,4'!M159</f>
        <v>0</v>
      </c>
      <c r="N162" s="31">
        <f>'июнь 2014г. по 6-10'!N162+'июнь 2014г. по 0,4'!N159</f>
        <v>0</v>
      </c>
      <c r="O162" s="31">
        <f>'июнь 2014г. по 6-10'!O162+'июнь 2014г. по 0,4'!O159</f>
        <v>0</v>
      </c>
      <c r="P162" s="31">
        <f>'июнь 2014г. по 6-10'!P162+'июнь 2014г. по 0,4'!P159</f>
        <v>0</v>
      </c>
      <c r="Q162" s="31">
        <f>'июнь 2014г. по 6-10'!Q162+'июнь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'июнь 2014г. по 6-10'!D163+'июнь 2014г. по 0,4'!D160</f>
        <v>0</v>
      </c>
      <c r="E163" s="31">
        <f>'июнь 2014г. по 6-10'!E163+'июнь 2014г. по 0,4'!E160</f>
        <v>0</v>
      </c>
      <c r="F163" s="31">
        <f>'июнь 2014г. по 6-10'!F163+'июнь 2014г. по 0,4'!F160</f>
        <v>0</v>
      </c>
      <c r="G163" s="31">
        <f>'июнь 2014г. по 6-10'!G163+'июнь 2014г. по 0,4'!G160</f>
        <v>0</v>
      </c>
      <c r="H163" s="31">
        <f>'июнь 2014г. по 6-10'!H163+'июнь 2014г. по 0,4'!H160</f>
        <v>0</v>
      </c>
      <c r="I163" s="31">
        <f>'июнь 2014г. по 6-10'!I163+'июнь 2014г. по 0,4'!I160</f>
        <v>0</v>
      </c>
      <c r="J163" s="31">
        <f>'июнь 2014г. по 6-10'!J163+'июнь 2014г. по 0,4'!J160</f>
        <v>0</v>
      </c>
      <c r="K163" s="31">
        <f>'июнь 2014г. по 6-10'!K163+'июнь 2014г. по 0,4'!K160</f>
        <v>0</v>
      </c>
      <c r="L163" s="31">
        <f>'июнь 2014г. по 6-10'!L163+'июнь 2014г. по 0,4'!L160</f>
        <v>0</v>
      </c>
      <c r="M163" s="31">
        <f>'июнь 2014г. по 6-10'!M163+'июнь 2014г. по 0,4'!M160</f>
        <v>0</v>
      </c>
      <c r="N163" s="31">
        <f>'июнь 2014г. по 6-10'!N163+'июнь 2014г. по 0,4'!N160</f>
        <v>0</v>
      </c>
      <c r="O163" s="31">
        <f>'июнь 2014г. по 6-10'!O163+'июнь 2014г. по 0,4'!O160</f>
        <v>0</v>
      </c>
      <c r="P163" s="31">
        <f>'июнь 2014г. по 6-10'!P163+'июнь 2014г. по 0,4'!P160</f>
        <v>0</v>
      </c>
      <c r="Q163" s="31">
        <f>'июнь 2014г. по 6-10'!Q163+'июнь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'июнь 2014г. по 6-10'!D164+'июнь 2014г. по 0,4'!D161</f>
        <v>1</v>
      </c>
      <c r="E164" s="31">
        <f>'июнь 2014г. по 6-10'!E164+'июнь 2014г. по 0,4'!E161</f>
        <v>10</v>
      </c>
      <c r="F164" s="31">
        <f>'июнь 2014г. по 6-10'!F164+'июнь 2014г. по 0,4'!F161</f>
        <v>1</v>
      </c>
      <c r="G164" s="31">
        <f>'июнь 2014г. по 6-10'!G164+'июнь 2014г. по 0,4'!G161</f>
        <v>10</v>
      </c>
      <c r="H164" s="31">
        <f>'июнь 2014г. по 6-10'!H164+'июнь 2014г. по 0,4'!H161</f>
        <v>0</v>
      </c>
      <c r="I164" s="31">
        <f>'июнь 2014г. по 6-10'!I164+'июнь 2014г. по 0,4'!I161</f>
        <v>0</v>
      </c>
      <c r="J164" s="31">
        <f>'июнь 2014г. по 6-10'!J164+'июнь 2014г. по 0,4'!J161</f>
        <v>0</v>
      </c>
      <c r="K164" s="31">
        <f>'июнь 2014г. по 6-10'!K164+'июнь 2014г. по 0,4'!K161</f>
        <v>0</v>
      </c>
      <c r="L164" s="31">
        <f>'июнь 2014г. по 6-10'!L164+'июнь 2014г. по 0,4'!L161</f>
        <v>0</v>
      </c>
      <c r="M164" s="31">
        <f>'июнь 2014г. по 6-10'!M164+'июнь 2014г. по 0,4'!M161</f>
        <v>0</v>
      </c>
      <c r="N164" s="31">
        <f>'июнь 2014г. по 6-10'!N164+'июнь 2014г. по 0,4'!N161</f>
        <v>0</v>
      </c>
      <c r="O164" s="31">
        <f>'июнь 2014г. по 6-10'!O164+'июнь 2014г. по 0,4'!O161</f>
        <v>0</v>
      </c>
      <c r="P164" s="31">
        <f>'июнь 2014г. по 6-10'!P164+'июнь 2014г. по 0,4'!P161</f>
        <v>0</v>
      </c>
      <c r="Q164" s="31">
        <f>'июнь 2014г. по 6-10'!Q164+'июнь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'июнь 2014г. по 6-10'!D165+'июнь 2014г. по 0,4'!D162</f>
        <v>0</v>
      </c>
      <c r="E165" s="31">
        <f>'июнь 2014г. по 6-10'!E165+'июнь 2014г. по 0,4'!E162</f>
        <v>0</v>
      </c>
      <c r="F165" s="31">
        <f>'июнь 2014г. по 6-10'!F165+'июнь 2014г. по 0,4'!F162</f>
        <v>0</v>
      </c>
      <c r="G165" s="31">
        <f>'июнь 2014г. по 6-10'!G165+'июнь 2014г. по 0,4'!G162</f>
        <v>0</v>
      </c>
      <c r="H165" s="31">
        <f>'июнь 2014г. по 6-10'!H165+'июнь 2014г. по 0,4'!H162</f>
        <v>0</v>
      </c>
      <c r="I165" s="31">
        <f>'июнь 2014г. по 6-10'!I165+'июнь 2014г. по 0,4'!I162</f>
        <v>0</v>
      </c>
      <c r="J165" s="31">
        <f>'июнь 2014г. по 6-10'!J165+'июнь 2014г. по 0,4'!J162</f>
        <v>0</v>
      </c>
      <c r="K165" s="31">
        <f>'июнь 2014г. по 6-10'!K165+'июнь 2014г. по 0,4'!K162</f>
        <v>0</v>
      </c>
      <c r="L165" s="31">
        <f>'июнь 2014г. по 6-10'!L165+'июнь 2014г. по 0,4'!L162</f>
        <v>0</v>
      </c>
      <c r="M165" s="31">
        <f>'июнь 2014г. по 6-10'!M165+'июнь 2014г. по 0,4'!M162</f>
        <v>0</v>
      </c>
      <c r="N165" s="31">
        <f>'июнь 2014г. по 6-10'!N165+'июнь 2014г. по 0,4'!N162</f>
        <v>0</v>
      </c>
      <c r="O165" s="31">
        <f>'июнь 2014г. по 6-10'!O165+'июнь 2014г. по 0,4'!O162</f>
        <v>0</v>
      </c>
      <c r="P165" s="31">
        <f>'июнь 2014г. по 6-10'!P165+'июнь 2014г. по 0,4'!P162</f>
        <v>0</v>
      </c>
      <c r="Q165" s="31">
        <f>'июнь 2014г. по 6-10'!Q165+'июнь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'июнь 2014г. по 6-10'!D166+'июнь 2014г. по 0,4'!D163</f>
        <v>1</v>
      </c>
      <c r="E166" s="31">
        <f>'июнь 2014г. по 6-10'!E166+'июнь 2014г. по 0,4'!E163</f>
        <v>5</v>
      </c>
      <c r="F166" s="31">
        <f>'июнь 2014г. по 6-10'!F166+'июнь 2014г. по 0,4'!F163</f>
        <v>1</v>
      </c>
      <c r="G166" s="31">
        <f>'июнь 2014г. по 6-10'!G166+'июнь 2014г. по 0,4'!G163</f>
        <v>5</v>
      </c>
      <c r="H166" s="31">
        <f>'июнь 2014г. по 6-10'!H166+'июнь 2014г. по 0,4'!H163</f>
        <v>0</v>
      </c>
      <c r="I166" s="31">
        <f>'июнь 2014г. по 6-10'!I166+'июнь 2014г. по 0,4'!I163</f>
        <v>0</v>
      </c>
      <c r="J166" s="31">
        <f>'июнь 2014г. по 6-10'!J166+'июнь 2014г. по 0,4'!J163</f>
        <v>0</v>
      </c>
      <c r="K166" s="31">
        <f>'июнь 2014г. по 6-10'!K166+'июнь 2014г. по 0,4'!K163</f>
        <v>0</v>
      </c>
      <c r="L166" s="31">
        <f>'июнь 2014г. по 6-10'!L166+'июнь 2014г. по 0,4'!L163</f>
        <v>0</v>
      </c>
      <c r="M166" s="31">
        <f>'июнь 2014г. по 6-10'!M166+'июнь 2014г. по 0,4'!M163</f>
        <v>0</v>
      </c>
      <c r="N166" s="31">
        <f>'июнь 2014г. по 6-10'!N166+'июнь 2014г. по 0,4'!N163</f>
        <v>0</v>
      </c>
      <c r="O166" s="31">
        <f>'июнь 2014г. по 6-10'!O166+'июнь 2014г. по 0,4'!O163</f>
        <v>0</v>
      </c>
      <c r="P166" s="31">
        <f>'июнь 2014г. по 6-10'!P166+'июнь 2014г. по 0,4'!P163</f>
        <v>0</v>
      </c>
      <c r="Q166" s="31">
        <f>'июнь 2014г. по 6-10'!Q166+'июнь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'июнь 2014г. по 6-10'!D167+'июнь 2014г. по 0,4'!D164</f>
        <v>2</v>
      </c>
      <c r="E167" s="31">
        <f>'июнь 2014г. по 6-10'!E167+'июнь 2014г. по 0,4'!E164</f>
        <v>131</v>
      </c>
      <c r="F167" s="31">
        <f>'июнь 2014г. по 6-10'!F167+'июнь 2014г. по 0,4'!F164</f>
        <v>2</v>
      </c>
      <c r="G167" s="31">
        <f>'июнь 2014г. по 6-10'!G167+'июнь 2014г. по 0,4'!G164</f>
        <v>131</v>
      </c>
      <c r="H167" s="31">
        <f>'июнь 2014г. по 6-10'!H167+'июнь 2014г. по 0,4'!H164</f>
        <v>0</v>
      </c>
      <c r="I167" s="31">
        <f>'июнь 2014г. по 6-10'!I167+'июнь 2014г. по 0,4'!I164</f>
        <v>0</v>
      </c>
      <c r="J167" s="31">
        <f>'июнь 2014г. по 6-10'!J167+'июнь 2014г. по 0,4'!J164</f>
        <v>0</v>
      </c>
      <c r="K167" s="31">
        <f>'июнь 2014г. по 6-10'!K167+'июнь 2014г. по 0,4'!K164</f>
        <v>0</v>
      </c>
      <c r="L167" s="31">
        <f>'июнь 2014г. по 6-10'!L167+'июнь 2014г. по 0,4'!L164</f>
        <v>0</v>
      </c>
      <c r="M167" s="31">
        <f>'июнь 2014г. по 6-10'!M167+'июнь 2014г. по 0,4'!M164</f>
        <v>0</v>
      </c>
      <c r="N167" s="31">
        <f>'июнь 2014г. по 6-10'!N167+'июнь 2014г. по 0,4'!N164</f>
        <v>0</v>
      </c>
      <c r="O167" s="31">
        <f>'июнь 2014г. по 6-10'!O167+'июнь 2014г. по 0,4'!O164</f>
        <v>0</v>
      </c>
      <c r="P167" s="31">
        <f>'июнь 2014г. по 6-10'!P167+'июнь 2014г. по 0,4'!P164</f>
        <v>0</v>
      </c>
      <c r="Q167" s="31">
        <f>'июнь 2014г. по 6-10'!Q167+'июнь 2014г. по 0,4'!Q164</f>
        <v>0</v>
      </c>
    </row>
    <row r="168" spans="1:17" ht="12.75" customHeight="1" x14ac:dyDescent="0.2">
      <c r="A168" s="18"/>
      <c r="B168" s="18"/>
      <c r="C168" s="18" t="s">
        <v>348</v>
      </c>
      <c r="D168" s="31">
        <f>'июнь 2014г. по 6-10'!D168+'июнь 2014г. по 0,4'!D165</f>
        <v>0</v>
      </c>
      <c r="E168" s="31">
        <f>'июнь 2014г. по 6-10'!E168+'июнь 2014г. по 0,4'!E165</f>
        <v>0</v>
      </c>
      <c r="F168" s="31">
        <f>'июнь 2014г. по 6-10'!F168+'июнь 2014г. по 0,4'!F165</f>
        <v>0</v>
      </c>
      <c r="G168" s="31">
        <f>'июнь 2014г. по 6-10'!G168+'июнь 2014г. по 0,4'!G165</f>
        <v>0</v>
      </c>
      <c r="H168" s="31">
        <f>'июнь 2014г. по 6-10'!H168+'июнь 2014г. по 0,4'!H165</f>
        <v>0</v>
      </c>
      <c r="I168" s="31">
        <f>'июнь 2014г. по 6-10'!I168+'июнь 2014г. по 0,4'!I165</f>
        <v>0</v>
      </c>
      <c r="J168" s="31">
        <f>'июнь 2014г. по 6-10'!J168+'июнь 2014г. по 0,4'!J165</f>
        <v>0</v>
      </c>
      <c r="K168" s="31">
        <f>'июнь 2014г. по 6-10'!K168+'июнь 2014г. по 0,4'!K165</f>
        <v>0</v>
      </c>
      <c r="L168" s="31">
        <f>'июнь 2014г. по 6-10'!L168+'июнь 2014г. по 0,4'!L165</f>
        <v>0</v>
      </c>
      <c r="M168" s="31">
        <f>'июнь 2014г. по 6-10'!M168+'июнь 2014г. по 0,4'!M165</f>
        <v>0</v>
      </c>
      <c r="N168" s="31">
        <f>'июнь 2014г. по 6-10'!N168+'июнь 2014г. по 0,4'!N165</f>
        <v>0</v>
      </c>
      <c r="O168" s="31">
        <f>'июнь 2014г. по 6-10'!O168+'июнь 2014г. по 0,4'!O165</f>
        <v>0</v>
      </c>
      <c r="P168" s="31">
        <f>'июнь 2014г. по 6-10'!P168+'июнь 2014г. по 0,4'!P165</f>
        <v>0</v>
      </c>
      <c r="Q168" s="31">
        <f>'июнь 2014г. по 6-10'!Q168+'июнь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'июнь 2014г. по 6-10'!D169+'июнь 2014г. по 0,4'!D166</f>
        <v>7</v>
      </c>
      <c r="E169" s="31">
        <f>'июнь 2014г. по 6-10'!E169+'июнь 2014г. по 0,4'!E166</f>
        <v>67</v>
      </c>
      <c r="F169" s="31">
        <f>'июнь 2014г. по 6-10'!F169+'июнь 2014г. по 0,4'!F166</f>
        <v>7</v>
      </c>
      <c r="G169" s="31">
        <f>'июнь 2014г. по 6-10'!G169+'июнь 2014г. по 0,4'!G166</f>
        <v>67</v>
      </c>
      <c r="H169" s="31">
        <f>'июнь 2014г. по 6-10'!H169+'июнь 2014г. по 0,4'!H166</f>
        <v>0</v>
      </c>
      <c r="I169" s="31">
        <f>'июнь 2014г. по 6-10'!I169+'июнь 2014г. по 0,4'!I166</f>
        <v>0</v>
      </c>
      <c r="J169" s="31">
        <f>'июнь 2014г. по 6-10'!J169+'июнь 2014г. по 0,4'!J166</f>
        <v>0</v>
      </c>
      <c r="K169" s="31">
        <f>'июнь 2014г. по 6-10'!K169+'июнь 2014г. по 0,4'!K166</f>
        <v>0</v>
      </c>
      <c r="L169" s="31">
        <f>'июнь 2014г. по 6-10'!L169+'июнь 2014г. по 0,4'!L166</f>
        <v>0</v>
      </c>
      <c r="M169" s="31">
        <f>'июнь 2014г. по 6-10'!M169+'июнь 2014г. по 0,4'!M166</f>
        <v>0</v>
      </c>
      <c r="N169" s="31">
        <f>'июнь 2014г. по 6-10'!N169+'июнь 2014г. по 0,4'!N166</f>
        <v>0</v>
      </c>
      <c r="O169" s="31">
        <f>'июнь 2014г. по 6-10'!O169+'июнь 2014г. по 0,4'!O166</f>
        <v>0</v>
      </c>
      <c r="P169" s="31">
        <f>'июнь 2014г. по 6-10'!P169+'июнь 2014г. по 0,4'!P166</f>
        <v>0</v>
      </c>
      <c r="Q169" s="31">
        <f>'июнь 2014г. по 6-10'!Q169+'июнь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'июнь 2014г. по 6-10'!D170+'июнь 2014г. по 0,4'!D167</f>
        <v>4</v>
      </c>
      <c r="E170" s="31">
        <f>'июнь 2014г. по 6-10'!E170+'июнь 2014г. по 0,4'!E167</f>
        <v>96</v>
      </c>
      <c r="F170" s="31">
        <f>'июнь 2014г. по 6-10'!F170+'июнь 2014г. по 0,4'!F167</f>
        <v>4</v>
      </c>
      <c r="G170" s="31">
        <f>'июнь 2014г. по 6-10'!G170+'июнь 2014г. по 0,4'!G167</f>
        <v>96</v>
      </c>
      <c r="H170" s="31">
        <f>'июнь 2014г. по 6-10'!H170+'июнь 2014г. по 0,4'!H167</f>
        <v>0</v>
      </c>
      <c r="I170" s="31">
        <f>'июнь 2014г. по 6-10'!I170+'июнь 2014г. по 0,4'!I167</f>
        <v>0</v>
      </c>
      <c r="J170" s="31">
        <f>'июнь 2014г. по 6-10'!J170+'июнь 2014г. по 0,4'!J167</f>
        <v>0</v>
      </c>
      <c r="K170" s="31">
        <f>'июнь 2014г. по 6-10'!K170+'июнь 2014г. по 0,4'!K167</f>
        <v>0</v>
      </c>
      <c r="L170" s="31">
        <f>'июнь 2014г. по 6-10'!L170+'июнь 2014г. по 0,4'!L167</f>
        <v>0</v>
      </c>
      <c r="M170" s="31">
        <f>'июнь 2014г. по 6-10'!M170+'июнь 2014г. по 0,4'!M167</f>
        <v>0</v>
      </c>
      <c r="N170" s="31">
        <f>'июнь 2014г. по 6-10'!N170+'июнь 2014г. по 0,4'!N167</f>
        <v>0</v>
      </c>
      <c r="O170" s="31">
        <f>'июнь 2014г. по 6-10'!O170+'июнь 2014г. по 0,4'!O167</f>
        <v>0</v>
      </c>
      <c r="P170" s="31">
        <f>'июнь 2014г. по 6-10'!P170+'июнь 2014г. по 0,4'!P167</f>
        <v>0</v>
      </c>
      <c r="Q170" s="31">
        <f>'июнь 2014г. по 6-10'!Q170+'июнь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'июнь 2014г. по 6-10'!D171+'июнь 2014г. по 0,4'!D168</f>
        <v>0</v>
      </c>
      <c r="E171" s="31">
        <f>'июнь 2014г. по 6-10'!E171+'июнь 2014г. по 0,4'!E168</f>
        <v>0</v>
      </c>
      <c r="F171" s="31">
        <f>'июнь 2014г. по 6-10'!F171+'июнь 2014г. по 0,4'!F168</f>
        <v>0</v>
      </c>
      <c r="G171" s="31">
        <f>'июнь 2014г. по 6-10'!G171+'июнь 2014г. по 0,4'!G168</f>
        <v>0</v>
      </c>
      <c r="H171" s="31">
        <f>'июнь 2014г. по 6-10'!H171+'июнь 2014г. по 0,4'!H168</f>
        <v>0</v>
      </c>
      <c r="I171" s="31">
        <f>'июнь 2014г. по 6-10'!I171+'июнь 2014г. по 0,4'!I168</f>
        <v>0</v>
      </c>
      <c r="J171" s="31">
        <f>'июнь 2014г. по 6-10'!J171+'июнь 2014г. по 0,4'!J168</f>
        <v>0</v>
      </c>
      <c r="K171" s="31">
        <f>'июнь 2014г. по 6-10'!K171+'июнь 2014г. по 0,4'!K168</f>
        <v>0</v>
      </c>
      <c r="L171" s="31">
        <f>'июнь 2014г. по 6-10'!L171+'июнь 2014г. по 0,4'!L168</f>
        <v>0</v>
      </c>
      <c r="M171" s="31">
        <f>'июнь 2014г. по 6-10'!M171+'июнь 2014г. по 0,4'!M168</f>
        <v>0</v>
      </c>
      <c r="N171" s="31">
        <f>'июнь 2014г. по 6-10'!N171+'июнь 2014г. по 0,4'!N168</f>
        <v>0</v>
      </c>
      <c r="O171" s="31">
        <f>'июнь 2014г. по 6-10'!O171+'июнь 2014г. по 0,4'!O168</f>
        <v>0</v>
      </c>
      <c r="P171" s="31">
        <f>'июнь 2014г. по 6-10'!P171+'июнь 2014г. по 0,4'!P168</f>
        <v>0</v>
      </c>
      <c r="Q171" s="31">
        <f>'июнь 2014г. по 6-10'!Q171+'июнь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'июнь 2014г. по 6-10'!D172+'июнь 2014г. по 0,4'!D169</f>
        <v>1</v>
      </c>
      <c r="E172" s="31">
        <f>'июнь 2014г. по 6-10'!E172+'июнь 2014г. по 0,4'!E169</f>
        <v>10</v>
      </c>
      <c r="F172" s="31">
        <f>'июнь 2014г. по 6-10'!F172+'июнь 2014г. по 0,4'!F169</f>
        <v>1</v>
      </c>
      <c r="G172" s="31">
        <f>'июнь 2014г. по 6-10'!G172+'июнь 2014г. по 0,4'!G169</f>
        <v>10</v>
      </c>
      <c r="H172" s="31">
        <f>'июнь 2014г. по 6-10'!H172+'июнь 2014г. по 0,4'!H169</f>
        <v>0</v>
      </c>
      <c r="I172" s="31">
        <f>'июнь 2014г. по 6-10'!I172+'июнь 2014г. по 0,4'!I169</f>
        <v>0</v>
      </c>
      <c r="J172" s="31">
        <f>'июнь 2014г. по 6-10'!J172+'июнь 2014г. по 0,4'!J169</f>
        <v>0</v>
      </c>
      <c r="K172" s="31">
        <f>'июнь 2014г. по 6-10'!K172+'июнь 2014г. по 0,4'!K169</f>
        <v>0</v>
      </c>
      <c r="L172" s="31">
        <f>'июнь 2014г. по 6-10'!L172+'июнь 2014г. по 0,4'!L169</f>
        <v>0</v>
      </c>
      <c r="M172" s="31">
        <f>'июнь 2014г. по 6-10'!M172+'июнь 2014г. по 0,4'!M169</f>
        <v>0</v>
      </c>
      <c r="N172" s="31">
        <f>'июнь 2014г. по 6-10'!N172+'июнь 2014г. по 0,4'!N169</f>
        <v>0</v>
      </c>
      <c r="O172" s="31">
        <f>'июнь 2014г. по 6-10'!O172+'июнь 2014г. по 0,4'!O169</f>
        <v>0</v>
      </c>
      <c r="P172" s="31">
        <f>'июнь 2014г. по 6-10'!P172+'июнь 2014г. по 0,4'!P169</f>
        <v>0</v>
      </c>
      <c r="Q172" s="31">
        <f>'июнь 2014г. по 6-10'!Q172+'июнь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'июнь 2014г. по 6-10'!D173+'июнь 2014г. по 0,4'!D170</f>
        <v>2</v>
      </c>
      <c r="E173" s="31">
        <f>'июнь 2014г. по 6-10'!E173+'июнь 2014г. по 0,4'!E170</f>
        <v>35</v>
      </c>
      <c r="F173" s="31">
        <f>'июнь 2014г. по 6-10'!F173+'июнь 2014г. по 0,4'!F170</f>
        <v>2</v>
      </c>
      <c r="G173" s="31">
        <f>'июнь 2014г. по 6-10'!G173+'июнь 2014г. по 0,4'!G170</f>
        <v>35</v>
      </c>
      <c r="H173" s="31">
        <f>'июнь 2014г. по 6-10'!H173+'июнь 2014г. по 0,4'!H170</f>
        <v>0</v>
      </c>
      <c r="I173" s="31">
        <f>'июнь 2014г. по 6-10'!I173+'июнь 2014г. по 0,4'!I170</f>
        <v>0</v>
      </c>
      <c r="J173" s="31">
        <f>'июнь 2014г. по 6-10'!J173+'июнь 2014г. по 0,4'!J170</f>
        <v>0</v>
      </c>
      <c r="K173" s="31">
        <f>'июнь 2014г. по 6-10'!K173+'июнь 2014г. по 0,4'!K170</f>
        <v>0</v>
      </c>
      <c r="L173" s="31">
        <f>'июнь 2014г. по 6-10'!L173+'июнь 2014г. по 0,4'!L170</f>
        <v>0</v>
      </c>
      <c r="M173" s="31">
        <f>'июнь 2014г. по 6-10'!M173+'июнь 2014г. по 0,4'!M170</f>
        <v>0</v>
      </c>
      <c r="N173" s="31">
        <f>'июнь 2014г. по 6-10'!N173+'июнь 2014г. по 0,4'!N170</f>
        <v>0</v>
      </c>
      <c r="O173" s="31">
        <f>'июнь 2014г. по 6-10'!O173+'июнь 2014г. по 0,4'!O170</f>
        <v>0</v>
      </c>
      <c r="P173" s="31">
        <f>'июнь 2014г. по 6-10'!P173+'июнь 2014г. по 0,4'!P170</f>
        <v>0</v>
      </c>
      <c r="Q173" s="31">
        <f>'июнь 2014г. по 6-10'!Q173+'июнь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'июнь 2014г. по 6-10'!D174+'июнь 2014г. по 0,4'!D171</f>
        <v>8</v>
      </c>
      <c r="E174" s="31">
        <f>'июнь 2014г. по 6-10'!E174+'июнь 2014г. по 0,4'!E171</f>
        <v>44</v>
      </c>
      <c r="F174" s="31">
        <f>'июнь 2014г. по 6-10'!F174+'июнь 2014г. по 0,4'!F171</f>
        <v>8</v>
      </c>
      <c r="G174" s="31">
        <f>'июнь 2014г. по 6-10'!G174+'июнь 2014г. по 0,4'!G171</f>
        <v>44</v>
      </c>
      <c r="H174" s="31">
        <f>'июнь 2014г. по 6-10'!H174+'июнь 2014г. по 0,4'!H171</f>
        <v>0</v>
      </c>
      <c r="I174" s="31">
        <f>'июнь 2014г. по 6-10'!I174+'июнь 2014г. по 0,4'!I171</f>
        <v>0</v>
      </c>
      <c r="J174" s="31">
        <f>'июнь 2014г. по 6-10'!J174+'июнь 2014г. по 0,4'!J171</f>
        <v>1</v>
      </c>
      <c r="K174" s="31">
        <f>'июнь 2014г. по 6-10'!K174+'июнь 2014г. по 0,4'!K171</f>
        <v>5</v>
      </c>
      <c r="L174" s="31">
        <f>'июнь 2014г. по 6-10'!L174+'июнь 2014г. по 0,4'!L171</f>
        <v>0</v>
      </c>
      <c r="M174" s="31">
        <f>'июнь 2014г. по 6-10'!M174+'июнь 2014г. по 0,4'!M171</f>
        <v>0</v>
      </c>
      <c r="N174" s="31">
        <f>'июнь 2014г. по 6-10'!N174+'июнь 2014г. по 0,4'!N171</f>
        <v>0</v>
      </c>
      <c r="O174" s="31">
        <f>'июнь 2014г. по 6-10'!O174+'июнь 2014г. по 0,4'!O171</f>
        <v>0</v>
      </c>
      <c r="P174" s="31">
        <f>'июнь 2014г. по 6-10'!P174+'июнь 2014г. по 0,4'!P171</f>
        <v>0</v>
      </c>
      <c r="Q174" s="31">
        <f>'июнь 2014г. по 6-10'!Q174+'июнь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'июнь 2014г. по 6-10'!D175+'июнь 2014г. по 0,4'!D172</f>
        <v>0</v>
      </c>
      <c r="E175" s="31">
        <f>'июнь 2014г. по 6-10'!E175+'июнь 2014г. по 0,4'!E172</f>
        <v>0</v>
      </c>
      <c r="F175" s="31">
        <f>'июнь 2014г. по 6-10'!F175+'июнь 2014г. по 0,4'!F172</f>
        <v>0</v>
      </c>
      <c r="G175" s="31">
        <f>'июнь 2014г. по 6-10'!G175+'июнь 2014г. по 0,4'!G172</f>
        <v>0</v>
      </c>
      <c r="H175" s="31">
        <f>'июнь 2014г. по 6-10'!H175+'июнь 2014г. по 0,4'!H172</f>
        <v>0</v>
      </c>
      <c r="I175" s="31">
        <f>'июнь 2014г. по 6-10'!I175+'июнь 2014г. по 0,4'!I172</f>
        <v>0</v>
      </c>
      <c r="J175" s="31">
        <f>'июнь 2014г. по 6-10'!J175+'июнь 2014г. по 0,4'!J172</f>
        <v>0</v>
      </c>
      <c r="K175" s="31">
        <f>'июнь 2014г. по 6-10'!K175+'июнь 2014г. по 0,4'!K172</f>
        <v>0</v>
      </c>
      <c r="L175" s="31">
        <f>'июнь 2014г. по 6-10'!L175+'июнь 2014г. по 0,4'!L172</f>
        <v>0</v>
      </c>
      <c r="M175" s="31">
        <f>'июнь 2014г. по 6-10'!M175+'июнь 2014г. по 0,4'!M172</f>
        <v>0</v>
      </c>
      <c r="N175" s="31">
        <f>'июнь 2014г. по 6-10'!N175+'июнь 2014г. по 0,4'!N172</f>
        <v>0</v>
      </c>
      <c r="O175" s="31">
        <f>'июнь 2014г. по 6-10'!O175+'июнь 2014г. по 0,4'!O172</f>
        <v>0</v>
      </c>
      <c r="P175" s="31">
        <f>'июнь 2014г. по 6-10'!P175+'июнь 2014г. по 0,4'!P172</f>
        <v>0</v>
      </c>
      <c r="Q175" s="31">
        <f>'июнь 2014г. по 6-10'!Q175+'июнь 2014г. по 0,4'!Q172</f>
        <v>0</v>
      </c>
    </row>
    <row r="176" spans="1:17" ht="12.75" customHeight="1" x14ac:dyDescent="0.2">
      <c r="A176" s="18"/>
      <c r="B176" s="18"/>
      <c r="C176" s="18" t="s">
        <v>349</v>
      </c>
      <c r="D176" s="31">
        <f>'июнь 2014г. по 6-10'!D176+'июнь 2014г. по 0,4'!D173</f>
        <v>0</v>
      </c>
      <c r="E176" s="31">
        <f>'июнь 2014г. по 6-10'!E176+'июнь 2014г. по 0,4'!E173</f>
        <v>0</v>
      </c>
      <c r="F176" s="31">
        <f>'июнь 2014г. по 6-10'!F176+'июнь 2014г. по 0,4'!F173</f>
        <v>0</v>
      </c>
      <c r="G176" s="31">
        <f>'июнь 2014г. по 6-10'!G176+'июнь 2014г. по 0,4'!G173</f>
        <v>0</v>
      </c>
      <c r="H176" s="31">
        <f>'июнь 2014г. по 6-10'!H176+'июнь 2014г. по 0,4'!H173</f>
        <v>0</v>
      </c>
      <c r="I176" s="31">
        <f>'июнь 2014г. по 6-10'!I176+'июнь 2014г. по 0,4'!I173</f>
        <v>0</v>
      </c>
      <c r="J176" s="31">
        <f>'июнь 2014г. по 6-10'!J176+'июнь 2014г. по 0,4'!J173</f>
        <v>0</v>
      </c>
      <c r="K176" s="31">
        <f>'июнь 2014г. по 6-10'!K176+'июнь 2014г. по 0,4'!K173</f>
        <v>0</v>
      </c>
      <c r="L176" s="31">
        <f>'июнь 2014г. по 6-10'!L176+'июнь 2014г. по 0,4'!L173</f>
        <v>0</v>
      </c>
      <c r="M176" s="31">
        <f>'июнь 2014г. по 6-10'!M176+'июнь 2014г. по 0,4'!M173</f>
        <v>0</v>
      </c>
      <c r="N176" s="31">
        <f>'июнь 2014г. по 6-10'!N176+'июнь 2014г. по 0,4'!N173</f>
        <v>0</v>
      </c>
      <c r="O176" s="31">
        <f>'июнь 2014г. по 6-10'!O176+'июнь 2014г. по 0,4'!O173</f>
        <v>0</v>
      </c>
      <c r="P176" s="31">
        <f>'июнь 2014г. по 6-10'!P176+'июнь 2014г. по 0,4'!P173</f>
        <v>0</v>
      </c>
      <c r="Q176" s="31">
        <f>'июнь 2014г. по 6-10'!Q176+'июнь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'июнь 2014г. по 6-10'!D177+'июнь 2014г. по 0,4'!D174</f>
        <v>0</v>
      </c>
      <c r="E177" s="31">
        <f>'июнь 2014г. по 6-10'!E177+'июнь 2014г. по 0,4'!E174</f>
        <v>0</v>
      </c>
      <c r="F177" s="31">
        <f>'июнь 2014г. по 6-10'!F177+'июнь 2014г. по 0,4'!F174</f>
        <v>0</v>
      </c>
      <c r="G177" s="31">
        <f>'июнь 2014г. по 6-10'!G177+'июнь 2014г. по 0,4'!G174</f>
        <v>0</v>
      </c>
      <c r="H177" s="31">
        <f>'июнь 2014г. по 6-10'!H177+'июнь 2014г. по 0,4'!H174</f>
        <v>0</v>
      </c>
      <c r="I177" s="31">
        <f>'июнь 2014г. по 6-10'!I177+'июнь 2014г. по 0,4'!I174</f>
        <v>0</v>
      </c>
      <c r="J177" s="31">
        <f>'июнь 2014г. по 6-10'!J177+'июнь 2014г. по 0,4'!J174</f>
        <v>0</v>
      </c>
      <c r="K177" s="31">
        <f>'июнь 2014г. по 6-10'!K177+'июнь 2014г. по 0,4'!K174</f>
        <v>0</v>
      </c>
      <c r="L177" s="31">
        <f>'июнь 2014г. по 6-10'!L177+'июнь 2014г. по 0,4'!L174</f>
        <v>0</v>
      </c>
      <c r="M177" s="31">
        <f>'июнь 2014г. по 6-10'!M177+'июнь 2014г. по 0,4'!M174</f>
        <v>0</v>
      </c>
      <c r="N177" s="31">
        <f>'июнь 2014г. по 6-10'!N177+'июнь 2014г. по 0,4'!N174</f>
        <v>0</v>
      </c>
      <c r="O177" s="31">
        <f>'июнь 2014г. по 6-10'!O177+'июнь 2014г. по 0,4'!O174</f>
        <v>0</v>
      </c>
      <c r="P177" s="31">
        <f>'июнь 2014г. по 6-10'!P177+'июнь 2014г. по 0,4'!P174</f>
        <v>0</v>
      </c>
      <c r="Q177" s="31">
        <f>'июнь 2014г. по 6-10'!Q177+'июнь 2014г. по 0,4'!Q174</f>
        <v>0</v>
      </c>
    </row>
    <row r="178" spans="1:17" ht="12.75" customHeight="1" x14ac:dyDescent="0.2">
      <c r="A178" s="18"/>
      <c r="B178" s="18"/>
      <c r="C178" s="18" t="s">
        <v>350</v>
      </c>
      <c r="D178" s="31">
        <f>'июнь 2014г. по 6-10'!D178+'июнь 2014г. по 0,4'!D175</f>
        <v>9</v>
      </c>
      <c r="E178" s="31">
        <f>'июнь 2014г. по 6-10'!E178+'июнь 2014г. по 0,4'!E175</f>
        <v>310</v>
      </c>
      <c r="F178" s="31">
        <f>'июнь 2014г. по 6-10'!F178+'июнь 2014г. по 0,4'!F175</f>
        <v>9</v>
      </c>
      <c r="G178" s="31">
        <f>'июнь 2014г. по 6-10'!G178+'июнь 2014г. по 0,4'!G175</f>
        <v>310</v>
      </c>
      <c r="H178" s="31">
        <f>'июнь 2014г. по 6-10'!H178+'июнь 2014г. по 0,4'!H175</f>
        <v>0</v>
      </c>
      <c r="I178" s="31">
        <f>'июнь 2014г. по 6-10'!I178+'июнь 2014г. по 0,4'!I175</f>
        <v>0</v>
      </c>
      <c r="J178" s="31">
        <f>'июнь 2014г. по 6-10'!J178+'июнь 2014г. по 0,4'!J175</f>
        <v>0</v>
      </c>
      <c r="K178" s="31">
        <f>'июнь 2014г. по 6-10'!K178+'июнь 2014г. по 0,4'!K175</f>
        <v>0</v>
      </c>
      <c r="L178" s="31">
        <f>'июнь 2014г. по 6-10'!L178+'июнь 2014г. по 0,4'!L175</f>
        <v>0</v>
      </c>
      <c r="M178" s="31">
        <f>'июнь 2014г. по 6-10'!M178+'июнь 2014г. по 0,4'!M175</f>
        <v>0</v>
      </c>
      <c r="N178" s="31">
        <f>'июнь 2014г. по 6-10'!N178+'июнь 2014г. по 0,4'!N175</f>
        <v>0</v>
      </c>
      <c r="O178" s="31">
        <f>'июнь 2014г. по 6-10'!O178+'июнь 2014г. по 0,4'!O175</f>
        <v>0</v>
      </c>
      <c r="P178" s="31">
        <f>'июнь 2014г. по 6-10'!P178+'июнь 2014г. по 0,4'!P175</f>
        <v>0</v>
      </c>
      <c r="Q178" s="31">
        <f>'июнь 2014г. по 6-10'!Q178+'июнь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'июнь 2014г. по 6-10'!D179+'июнь 2014г. по 0,4'!D176</f>
        <v>1</v>
      </c>
      <c r="E179" s="31">
        <f>'июнь 2014г. по 6-10'!E179+'июнь 2014г. по 0,4'!E176</f>
        <v>8</v>
      </c>
      <c r="F179" s="31">
        <f>'июнь 2014г. по 6-10'!F179+'июнь 2014г. по 0,4'!F176</f>
        <v>1</v>
      </c>
      <c r="G179" s="31">
        <f>'июнь 2014г. по 6-10'!G179+'июнь 2014г. по 0,4'!G176</f>
        <v>8</v>
      </c>
      <c r="H179" s="31">
        <f>'июнь 2014г. по 6-10'!H179+'июнь 2014г. по 0,4'!H176</f>
        <v>0</v>
      </c>
      <c r="I179" s="31">
        <f>'июнь 2014г. по 6-10'!I179+'июнь 2014г. по 0,4'!I176</f>
        <v>0</v>
      </c>
      <c r="J179" s="31">
        <f>'июнь 2014г. по 6-10'!J179+'июнь 2014г. по 0,4'!J176</f>
        <v>1</v>
      </c>
      <c r="K179" s="31">
        <f>'июнь 2014г. по 6-10'!K179+'июнь 2014г. по 0,4'!K176</f>
        <v>8</v>
      </c>
      <c r="L179" s="31">
        <f>'июнь 2014г. по 6-10'!L179+'июнь 2014г. по 0,4'!L176</f>
        <v>0</v>
      </c>
      <c r="M179" s="31">
        <f>'июнь 2014г. по 6-10'!M179+'июнь 2014г. по 0,4'!M176</f>
        <v>0</v>
      </c>
      <c r="N179" s="31">
        <f>'июнь 2014г. по 6-10'!N179+'июнь 2014г. по 0,4'!N176</f>
        <v>0</v>
      </c>
      <c r="O179" s="31">
        <f>'июнь 2014г. по 6-10'!O179+'июнь 2014г. по 0,4'!O176</f>
        <v>0</v>
      </c>
      <c r="P179" s="31">
        <f>'июнь 2014г. по 6-10'!P179+'июнь 2014г. по 0,4'!P176</f>
        <v>0</v>
      </c>
      <c r="Q179" s="31">
        <f>'июнь 2014г. по 6-10'!Q179+'июнь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'июнь 2014г. по 6-10'!D180+'июнь 2014г. по 0,4'!D177</f>
        <v>0</v>
      </c>
      <c r="E180" s="31">
        <f>'июнь 2014г. по 6-10'!E180+'июнь 2014г. по 0,4'!E177</f>
        <v>0</v>
      </c>
      <c r="F180" s="31">
        <f>'июнь 2014г. по 6-10'!F180+'июнь 2014г. по 0,4'!F177</f>
        <v>0</v>
      </c>
      <c r="G180" s="31">
        <f>'июнь 2014г. по 6-10'!G180+'июнь 2014г. по 0,4'!G177</f>
        <v>0</v>
      </c>
      <c r="H180" s="31">
        <f>'июнь 2014г. по 6-10'!H180+'июнь 2014г. по 0,4'!H177</f>
        <v>0</v>
      </c>
      <c r="I180" s="31">
        <f>'июнь 2014г. по 6-10'!I180+'июнь 2014г. по 0,4'!I177</f>
        <v>0</v>
      </c>
      <c r="J180" s="31">
        <f>'июнь 2014г. по 6-10'!J180+'июнь 2014г. по 0,4'!J177</f>
        <v>0</v>
      </c>
      <c r="K180" s="31">
        <f>'июнь 2014г. по 6-10'!K180+'июнь 2014г. по 0,4'!K177</f>
        <v>0</v>
      </c>
      <c r="L180" s="31">
        <f>'июнь 2014г. по 6-10'!L180+'июнь 2014г. по 0,4'!L177</f>
        <v>0</v>
      </c>
      <c r="M180" s="31">
        <f>'июнь 2014г. по 6-10'!M180+'июнь 2014г. по 0,4'!M177</f>
        <v>0</v>
      </c>
      <c r="N180" s="31">
        <f>'июнь 2014г. по 6-10'!N180+'июнь 2014г. по 0,4'!N177</f>
        <v>0</v>
      </c>
      <c r="O180" s="31">
        <f>'июнь 2014г. по 6-10'!O180+'июнь 2014г. по 0,4'!O177</f>
        <v>0</v>
      </c>
      <c r="P180" s="31">
        <f>'июнь 2014г. по 6-10'!P180+'июнь 2014г. по 0,4'!P177</f>
        <v>0</v>
      </c>
      <c r="Q180" s="31">
        <f>'июнь 2014г. по 6-10'!Q180+'июнь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'июнь 2014г. по 6-10'!D181+'июнь 2014г. по 0,4'!D178</f>
        <v>2</v>
      </c>
      <c r="E181" s="31">
        <f>'июнь 2014г. по 6-10'!E181+'июнь 2014г. по 0,4'!E178</f>
        <v>22</v>
      </c>
      <c r="F181" s="31">
        <f>'июнь 2014г. по 6-10'!F181+'июнь 2014г. по 0,4'!F178</f>
        <v>2</v>
      </c>
      <c r="G181" s="31">
        <f>'июнь 2014г. по 6-10'!G181+'июнь 2014г. по 0,4'!G178</f>
        <v>22</v>
      </c>
      <c r="H181" s="31">
        <f>'июнь 2014г. по 6-10'!H181+'июнь 2014г. по 0,4'!H178</f>
        <v>0</v>
      </c>
      <c r="I181" s="31">
        <f>'июнь 2014г. по 6-10'!I181+'июнь 2014г. по 0,4'!I178</f>
        <v>0</v>
      </c>
      <c r="J181" s="31">
        <f>'июнь 2014г. по 6-10'!J181+'июнь 2014г. по 0,4'!J178</f>
        <v>0</v>
      </c>
      <c r="K181" s="31">
        <f>'июнь 2014г. по 6-10'!K181+'июнь 2014г. по 0,4'!K178</f>
        <v>0</v>
      </c>
      <c r="L181" s="31">
        <f>'июнь 2014г. по 6-10'!L181+'июнь 2014г. по 0,4'!L178</f>
        <v>0</v>
      </c>
      <c r="M181" s="31">
        <f>'июнь 2014г. по 6-10'!M181+'июнь 2014г. по 0,4'!M178</f>
        <v>0</v>
      </c>
      <c r="N181" s="31">
        <f>'июнь 2014г. по 6-10'!N181+'июнь 2014г. по 0,4'!N178</f>
        <v>0</v>
      </c>
      <c r="O181" s="31">
        <f>'июнь 2014г. по 6-10'!O181+'июнь 2014г. по 0,4'!O178</f>
        <v>0</v>
      </c>
      <c r="P181" s="31">
        <f>'июнь 2014г. по 6-10'!P181+'июнь 2014г. по 0,4'!P178</f>
        <v>0</v>
      </c>
      <c r="Q181" s="31">
        <f>'июнь 2014г. по 6-10'!Q181+'июнь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'июнь 2014г. по 6-10'!D182+'июнь 2014г. по 0,4'!D179</f>
        <v>3</v>
      </c>
      <c r="E182" s="31">
        <f>'июнь 2014г. по 6-10'!E182+'июнь 2014г. по 0,4'!E179</f>
        <v>37</v>
      </c>
      <c r="F182" s="31">
        <f>'июнь 2014г. по 6-10'!F182+'июнь 2014г. по 0,4'!F179</f>
        <v>3</v>
      </c>
      <c r="G182" s="31">
        <f>'июнь 2014г. по 6-10'!G182+'июнь 2014г. по 0,4'!G179</f>
        <v>37</v>
      </c>
      <c r="H182" s="31">
        <f>'июнь 2014г. по 6-10'!H182+'июнь 2014г. по 0,4'!H179</f>
        <v>0</v>
      </c>
      <c r="I182" s="31">
        <f>'июнь 2014г. по 6-10'!I182+'июнь 2014г. по 0,4'!I179</f>
        <v>0</v>
      </c>
      <c r="J182" s="31">
        <f>'июнь 2014г. по 6-10'!J182+'июнь 2014г. по 0,4'!J179</f>
        <v>1</v>
      </c>
      <c r="K182" s="31">
        <f>'июнь 2014г. по 6-10'!K182+'июнь 2014г. по 0,4'!K179</f>
        <v>15</v>
      </c>
      <c r="L182" s="31">
        <f>'июнь 2014г. по 6-10'!L182+'июнь 2014г. по 0,4'!L179</f>
        <v>0</v>
      </c>
      <c r="M182" s="31">
        <f>'июнь 2014г. по 6-10'!M182+'июнь 2014г. по 0,4'!M179</f>
        <v>0</v>
      </c>
      <c r="N182" s="31">
        <f>'июнь 2014г. по 6-10'!N182+'июнь 2014г. по 0,4'!N179</f>
        <v>0</v>
      </c>
      <c r="O182" s="31">
        <f>'июнь 2014г. по 6-10'!O182+'июнь 2014г. по 0,4'!O179</f>
        <v>0</v>
      </c>
      <c r="P182" s="31">
        <f>'июнь 2014г. по 6-10'!P182+'июнь 2014г. по 0,4'!P179</f>
        <v>0</v>
      </c>
      <c r="Q182" s="31">
        <f>'июнь 2014г. по 6-10'!Q182+'июнь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'июнь 2014г. по 6-10'!D183+'июнь 2014г. по 0,4'!D180</f>
        <v>1</v>
      </c>
      <c r="E183" s="31">
        <f>'июнь 2014г. по 6-10'!E183+'июнь 2014г. по 0,4'!E180</f>
        <v>10</v>
      </c>
      <c r="F183" s="31">
        <f>'июнь 2014г. по 6-10'!F183+'июнь 2014г. по 0,4'!F180</f>
        <v>1</v>
      </c>
      <c r="G183" s="31">
        <f>'июнь 2014г. по 6-10'!G183+'июнь 2014г. по 0,4'!G180</f>
        <v>10</v>
      </c>
      <c r="H183" s="31">
        <f>'июнь 2014г. по 6-10'!H183+'июнь 2014г. по 0,4'!H180</f>
        <v>0</v>
      </c>
      <c r="I183" s="31">
        <f>'июнь 2014г. по 6-10'!I183+'июнь 2014г. по 0,4'!I180</f>
        <v>0</v>
      </c>
      <c r="J183" s="31">
        <f>'июнь 2014г. по 6-10'!J183+'июнь 2014г. по 0,4'!J180</f>
        <v>0</v>
      </c>
      <c r="K183" s="31">
        <f>'июнь 2014г. по 6-10'!K183+'июнь 2014г. по 0,4'!K180</f>
        <v>0</v>
      </c>
      <c r="L183" s="31">
        <f>'июнь 2014г. по 6-10'!L183+'июнь 2014г. по 0,4'!L180</f>
        <v>0</v>
      </c>
      <c r="M183" s="31">
        <f>'июнь 2014г. по 6-10'!M183+'июнь 2014г. по 0,4'!M180</f>
        <v>0</v>
      </c>
      <c r="N183" s="31">
        <f>'июнь 2014г. по 6-10'!N183+'июнь 2014г. по 0,4'!N180</f>
        <v>0</v>
      </c>
      <c r="O183" s="31">
        <f>'июнь 2014г. по 6-10'!O183+'июнь 2014г. по 0,4'!O180</f>
        <v>0</v>
      </c>
      <c r="P183" s="31">
        <f>'июнь 2014г. по 6-10'!P183+'июнь 2014г. по 0,4'!P180</f>
        <v>0</v>
      </c>
      <c r="Q183" s="31">
        <f>'июнь 2014г. по 6-10'!Q183+'июнь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'июнь 2014г. по 6-10'!D184+'июнь 2014г. по 0,4'!D181</f>
        <v>10</v>
      </c>
      <c r="E184" s="31">
        <f>'июнь 2014г. по 6-10'!E184+'июнь 2014г. по 0,4'!E181</f>
        <v>113</v>
      </c>
      <c r="F184" s="31">
        <f>'июнь 2014г. по 6-10'!F184+'июнь 2014г. по 0,4'!F181</f>
        <v>10</v>
      </c>
      <c r="G184" s="31">
        <f>'июнь 2014г. по 6-10'!G184+'июнь 2014г. по 0,4'!G181</f>
        <v>113</v>
      </c>
      <c r="H184" s="31">
        <f>'июнь 2014г. по 6-10'!H184+'июнь 2014г. по 0,4'!H181</f>
        <v>0</v>
      </c>
      <c r="I184" s="31">
        <f>'июнь 2014г. по 6-10'!I184+'июнь 2014г. по 0,4'!I181</f>
        <v>0</v>
      </c>
      <c r="J184" s="31">
        <f>'июнь 2014г. по 6-10'!J184+'июнь 2014г. по 0,4'!J181</f>
        <v>0</v>
      </c>
      <c r="K184" s="31">
        <f>'июнь 2014г. по 6-10'!K184+'июнь 2014г. по 0,4'!K181</f>
        <v>0</v>
      </c>
      <c r="L184" s="31">
        <f>'июнь 2014г. по 6-10'!L184+'июнь 2014г. по 0,4'!L181</f>
        <v>0</v>
      </c>
      <c r="M184" s="31">
        <f>'июнь 2014г. по 6-10'!M184+'июнь 2014г. по 0,4'!M181</f>
        <v>0</v>
      </c>
      <c r="N184" s="31">
        <f>'июнь 2014г. по 6-10'!N184+'июнь 2014г. по 0,4'!N181</f>
        <v>0</v>
      </c>
      <c r="O184" s="31">
        <f>'июнь 2014г. по 6-10'!O184+'июнь 2014г. по 0,4'!O181</f>
        <v>0</v>
      </c>
      <c r="P184" s="31">
        <f>'июнь 2014г. по 6-10'!P184+'июнь 2014г. по 0,4'!P181</f>
        <v>0</v>
      </c>
      <c r="Q184" s="31">
        <f>'июнь 2014г. по 6-10'!Q184+'июнь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85">
        <f>SUM(D155:D184)</f>
        <v>66</v>
      </c>
      <c r="E185" s="85">
        <f t="shared" ref="E185:Q185" si="3">SUM(E155:E184)</f>
        <v>1100.8</v>
      </c>
      <c r="F185" s="85">
        <f t="shared" si="3"/>
        <v>66</v>
      </c>
      <c r="G185" s="85">
        <f t="shared" si="3"/>
        <v>1100.8</v>
      </c>
      <c r="H185" s="85">
        <f t="shared" si="3"/>
        <v>20</v>
      </c>
      <c r="I185" s="85">
        <f t="shared" si="3"/>
        <v>0</v>
      </c>
      <c r="J185" s="85">
        <f t="shared" si="3"/>
        <v>3</v>
      </c>
      <c r="K185" s="85">
        <f t="shared" si="3"/>
        <v>28</v>
      </c>
      <c r="L185" s="85">
        <f t="shared" si="3"/>
        <v>0</v>
      </c>
      <c r="M185" s="85">
        <f t="shared" si="3"/>
        <v>0</v>
      </c>
      <c r="N185" s="85">
        <f t="shared" si="3"/>
        <v>0</v>
      </c>
      <c r="O185" s="85">
        <f t="shared" si="3"/>
        <v>0</v>
      </c>
      <c r="P185" s="85">
        <f t="shared" si="3"/>
        <v>0</v>
      </c>
      <c r="Q185" s="85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'июнь 2014г. по 6-10'!D187+'июнь 2014г. по 0,4'!D184</f>
        <v>2</v>
      </c>
      <c r="E187" s="31">
        <f>'июнь 2014г. по 6-10'!E187+'июнь 2014г. по 0,4'!E184</f>
        <v>23</v>
      </c>
      <c r="F187" s="31">
        <f>'июнь 2014г. по 6-10'!F187+'июнь 2014г. по 0,4'!F184</f>
        <v>2</v>
      </c>
      <c r="G187" s="31">
        <f>'июнь 2014г. по 6-10'!G187+'июнь 2014г. по 0,4'!G184</f>
        <v>23</v>
      </c>
      <c r="H187" s="31">
        <f>'июнь 2014г. по 6-10'!H187+'июнь 2014г. по 0,4'!H184</f>
        <v>0</v>
      </c>
      <c r="I187" s="31">
        <f>'июнь 2014г. по 6-10'!I187+'июнь 2014г. по 0,4'!I184</f>
        <v>0</v>
      </c>
      <c r="J187" s="31">
        <f>'июнь 2014г. по 6-10'!J187+'июнь 2014г. по 0,4'!J184</f>
        <v>0</v>
      </c>
      <c r="K187" s="31">
        <f>'июнь 2014г. по 6-10'!K187+'июнь 2014г. по 0,4'!K184</f>
        <v>0</v>
      </c>
      <c r="L187" s="31">
        <f>'июнь 2014г. по 6-10'!L187+'июнь 2014г. по 0,4'!L184</f>
        <v>0</v>
      </c>
      <c r="M187" s="31">
        <f>'июнь 2014г. по 6-10'!M187+'июнь 2014г. по 0,4'!M184</f>
        <v>0</v>
      </c>
      <c r="N187" s="31">
        <f>'июнь 2014г. по 6-10'!N187+'июнь 2014г. по 0,4'!N184</f>
        <v>0</v>
      </c>
      <c r="O187" s="31">
        <f>'июнь 2014г. по 6-10'!O187+'июнь 2014г. по 0,4'!O184</f>
        <v>0</v>
      </c>
      <c r="P187" s="31">
        <f>'июнь 2014г. по 6-10'!P187+'июнь 2014г. по 0,4'!P184</f>
        <v>0</v>
      </c>
      <c r="Q187" s="31">
        <f>'июнь 2014г. по 6-10'!Q187+'июнь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'июнь 2014г. по 6-10'!D188+'июнь 2014г. по 0,4'!D185</f>
        <v>0</v>
      </c>
      <c r="E188" s="31">
        <f>'июнь 2014г. по 6-10'!E188+'июнь 2014г. по 0,4'!E185</f>
        <v>0</v>
      </c>
      <c r="F188" s="31">
        <f>'июнь 2014г. по 6-10'!F188+'июнь 2014г. по 0,4'!F185</f>
        <v>0</v>
      </c>
      <c r="G188" s="31">
        <f>'июнь 2014г. по 6-10'!G188+'июнь 2014г. по 0,4'!G185</f>
        <v>0</v>
      </c>
      <c r="H188" s="31">
        <f>'июнь 2014г. по 6-10'!H188+'июнь 2014г. по 0,4'!H185</f>
        <v>0</v>
      </c>
      <c r="I188" s="31">
        <f>'июнь 2014г. по 6-10'!I188+'июнь 2014г. по 0,4'!I185</f>
        <v>0</v>
      </c>
      <c r="J188" s="31">
        <f>'июнь 2014г. по 6-10'!J188+'июнь 2014г. по 0,4'!J185</f>
        <v>0</v>
      </c>
      <c r="K188" s="31">
        <f>'июнь 2014г. по 6-10'!K188+'июнь 2014г. по 0,4'!K185</f>
        <v>0</v>
      </c>
      <c r="L188" s="31">
        <f>'июнь 2014г. по 6-10'!L188+'июнь 2014г. по 0,4'!L185</f>
        <v>0</v>
      </c>
      <c r="M188" s="31">
        <f>'июнь 2014г. по 6-10'!M188+'июнь 2014г. по 0,4'!M185</f>
        <v>0</v>
      </c>
      <c r="N188" s="31">
        <f>'июнь 2014г. по 6-10'!N188+'июнь 2014г. по 0,4'!N185</f>
        <v>0</v>
      </c>
      <c r="O188" s="31">
        <f>'июнь 2014г. по 6-10'!O188+'июнь 2014г. по 0,4'!O185</f>
        <v>0</v>
      </c>
      <c r="P188" s="31">
        <f>'июнь 2014г. по 6-10'!P188+'июнь 2014г. по 0,4'!P185</f>
        <v>0</v>
      </c>
      <c r="Q188" s="31">
        <f>'июнь 2014г. по 6-10'!Q188+'июнь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'июнь 2014г. по 6-10'!D189+'июнь 2014г. по 0,4'!D186</f>
        <v>1</v>
      </c>
      <c r="E189" s="31">
        <f>'июнь 2014г. по 6-10'!E189+'июнь 2014г. по 0,4'!E186</f>
        <v>15</v>
      </c>
      <c r="F189" s="31">
        <f>'июнь 2014г. по 6-10'!F189+'июнь 2014г. по 0,4'!F186</f>
        <v>1</v>
      </c>
      <c r="G189" s="31">
        <f>'июнь 2014г. по 6-10'!G189+'июнь 2014г. по 0,4'!G186</f>
        <v>15</v>
      </c>
      <c r="H189" s="31">
        <f>'июнь 2014г. по 6-10'!H189+'июнь 2014г. по 0,4'!H186</f>
        <v>0</v>
      </c>
      <c r="I189" s="31">
        <f>'июнь 2014г. по 6-10'!I189+'июнь 2014г. по 0,4'!I186</f>
        <v>0</v>
      </c>
      <c r="J189" s="31">
        <f>'июнь 2014г. по 6-10'!J189+'июнь 2014г. по 0,4'!J186</f>
        <v>0</v>
      </c>
      <c r="K189" s="31">
        <f>'июнь 2014г. по 6-10'!K189+'июнь 2014г. по 0,4'!K186</f>
        <v>0</v>
      </c>
      <c r="L189" s="31">
        <f>'июнь 2014г. по 6-10'!L189+'июнь 2014г. по 0,4'!L186</f>
        <v>0</v>
      </c>
      <c r="M189" s="31">
        <f>'июнь 2014г. по 6-10'!M189+'июнь 2014г. по 0,4'!M186</f>
        <v>0</v>
      </c>
      <c r="N189" s="31">
        <f>'июнь 2014г. по 6-10'!N189+'июнь 2014г. по 0,4'!N186</f>
        <v>0</v>
      </c>
      <c r="O189" s="31">
        <f>'июнь 2014г. по 6-10'!O189+'июнь 2014г. по 0,4'!O186</f>
        <v>0</v>
      </c>
      <c r="P189" s="31">
        <f>'июнь 2014г. по 6-10'!P189+'июнь 2014г. по 0,4'!P186</f>
        <v>0</v>
      </c>
      <c r="Q189" s="31">
        <f>'июнь 2014г. по 6-10'!Q189+'июнь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'июнь 2014г. по 6-10'!D190+'июнь 2014г. по 0,4'!D187</f>
        <v>0</v>
      </c>
      <c r="E190" s="31">
        <f>'июнь 2014г. по 6-10'!E190+'июнь 2014г. по 0,4'!E187</f>
        <v>0</v>
      </c>
      <c r="F190" s="31">
        <f>'июнь 2014г. по 6-10'!F190+'июнь 2014г. по 0,4'!F187</f>
        <v>0</v>
      </c>
      <c r="G190" s="31">
        <f>'июнь 2014г. по 6-10'!G190+'июнь 2014г. по 0,4'!G187</f>
        <v>0</v>
      </c>
      <c r="H190" s="31">
        <f>'июнь 2014г. по 6-10'!H190+'июнь 2014г. по 0,4'!H187</f>
        <v>0</v>
      </c>
      <c r="I190" s="31">
        <f>'июнь 2014г. по 6-10'!I190+'июнь 2014г. по 0,4'!I187</f>
        <v>0</v>
      </c>
      <c r="J190" s="31">
        <f>'июнь 2014г. по 6-10'!J190+'июнь 2014г. по 0,4'!J187</f>
        <v>0</v>
      </c>
      <c r="K190" s="31">
        <f>'июнь 2014г. по 6-10'!K190+'июнь 2014г. по 0,4'!K187</f>
        <v>0</v>
      </c>
      <c r="L190" s="31">
        <f>'июнь 2014г. по 6-10'!L190+'июнь 2014г. по 0,4'!L187</f>
        <v>0</v>
      </c>
      <c r="M190" s="31">
        <f>'июнь 2014г. по 6-10'!M190+'июнь 2014г. по 0,4'!M187</f>
        <v>0</v>
      </c>
      <c r="N190" s="31">
        <f>'июнь 2014г. по 6-10'!N190+'июнь 2014г. по 0,4'!N187</f>
        <v>0</v>
      </c>
      <c r="O190" s="31">
        <f>'июнь 2014г. по 6-10'!O190+'июнь 2014г. по 0,4'!O187</f>
        <v>0</v>
      </c>
      <c r="P190" s="31">
        <f>'июнь 2014г. по 6-10'!P190+'июнь 2014г. по 0,4'!P187</f>
        <v>0</v>
      </c>
      <c r="Q190" s="31">
        <f>'июнь 2014г. по 6-10'!Q190+'июнь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'июнь 2014г. по 6-10'!D191+'июнь 2014г. по 0,4'!D188</f>
        <v>0</v>
      </c>
      <c r="E191" s="31">
        <f>'июнь 2014г. по 6-10'!E191+'июнь 2014г. по 0,4'!E188</f>
        <v>0</v>
      </c>
      <c r="F191" s="31">
        <f>'июнь 2014г. по 6-10'!F191+'июнь 2014г. по 0,4'!F188</f>
        <v>0</v>
      </c>
      <c r="G191" s="31">
        <f>'июнь 2014г. по 6-10'!G191+'июнь 2014г. по 0,4'!G188</f>
        <v>0</v>
      </c>
      <c r="H191" s="31">
        <f>'июнь 2014г. по 6-10'!H191+'июнь 2014г. по 0,4'!H188</f>
        <v>0</v>
      </c>
      <c r="I191" s="31">
        <f>'июнь 2014г. по 6-10'!I191+'июнь 2014г. по 0,4'!I188</f>
        <v>0</v>
      </c>
      <c r="J191" s="31">
        <f>'июнь 2014г. по 6-10'!J191+'июнь 2014г. по 0,4'!J188</f>
        <v>0</v>
      </c>
      <c r="K191" s="31">
        <f>'июнь 2014г. по 6-10'!K191+'июнь 2014г. по 0,4'!K188</f>
        <v>0</v>
      </c>
      <c r="L191" s="31">
        <f>'июнь 2014г. по 6-10'!L191+'июнь 2014г. по 0,4'!L188</f>
        <v>0</v>
      </c>
      <c r="M191" s="31">
        <f>'июнь 2014г. по 6-10'!M191+'июнь 2014г. по 0,4'!M188</f>
        <v>0</v>
      </c>
      <c r="N191" s="31">
        <f>'июнь 2014г. по 6-10'!N191+'июнь 2014г. по 0,4'!N188</f>
        <v>0</v>
      </c>
      <c r="O191" s="31">
        <f>'июнь 2014г. по 6-10'!O191+'июнь 2014г. по 0,4'!O188</f>
        <v>0</v>
      </c>
      <c r="P191" s="31">
        <f>'июнь 2014г. по 6-10'!P191+'июнь 2014г. по 0,4'!P188</f>
        <v>0</v>
      </c>
      <c r="Q191" s="31">
        <f>'июнь 2014г. по 6-10'!Q191+'июнь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'июнь 2014г. по 6-10'!D192+'июнь 2014г. по 0,4'!D189</f>
        <v>0</v>
      </c>
      <c r="E192" s="31">
        <f>'июнь 2014г. по 6-10'!E192+'июнь 2014г. по 0,4'!E189</f>
        <v>0</v>
      </c>
      <c r="F192" s="31">
        <f>'июнь 2014г. по 6-10'!F192+'июнь 2014г. по 0,4'!F189</f>
        <v>0</v>
      </c>
      <c r="G192" s="31">
        <f>'июнь 2014г. по 6-10'!G192+'июнь 2014г. по 0,4'!G189</f>
        <v>0</v>
      </c>
      <c r="H192" s="31">
        <f>'июнь 2014г. по 6-10'!H192+'июнь 2014г. по 0,4'!H189</f>
        <v>0</v>
      </c>
      <c r="I192" s="31">
        <f>'июнь 2014г. по 6-10'!I192+'июнь 2014г. по 0,4'!I189</f>
        <v>0</v>
      </c>
      <c r="J192" s="31">
        <f>'июнь 2014г. по 6-10'!J192+'июнь 2014г. по 0,4'!J189</f>
        <v>0</v>
      </c>
      <c r="K192" s="31">
        <f>'июнь 2014г. по 6-10'!K192+'июнь 2014г. по 0,4'!K189</f>
        <v>0</v>
      </c>
      <c r="L192" s="31">
        <f>'июнь 2014г. по 6-10'!L192+'июнь 2014г. по 0,4'!L189</f>
        <v>0</v>
      </c>
      <c r="M192" s="31">
        <f>'июнь 2014г. по 6-10'!M192+'июнь 2014г. по 0,4'!M189</f>
        <v>0</v>
      </c>
      <c r="N192" s="31">
        <f>'июнь 2014г. по 6-10'!N192+'июнь 2014г. по 0,4'!N189</f>
        <v>0</v>
      </c>
      <c r="O192" s="31">
        <f>'июнь 2014г. по 6-10'!O192+'июнь 2014г. по 0,4'!O189</f>
        <v>0</v>
      </c>
      <c r="P192" s="31">
        <f>'июнь 2014г. по 6-10'!P192+'июнь 2014г. по 0,4'!P189</f>
        <v>0</v>
      </c>
      <c r="Q192" s="31">
        <f>'июнь 2014г. по 6-10'!Q192+'июнь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'июнь 2014г. по 6-10'!D193+'июнь 2014г. по 0,4'!D190</f>
        <v>0</v>
      </c>
      <c r="E193" s="31">
        <f>'июнь 2014г. по 6-10'!E193+'июнь 2014г. по 0,4'!E190</f>
        <v>0</v>
      </c>
      <c r="F193" s="31">
        <f>'июнь 2014г. по 6-10'!F193+'июнь 2014г. по 0,4'!F190</f>
        <v>0</v>
      </c>
      <c r="G193" s="31">
        <f>'июнь 2014г. по 6-10'!G193+'июнь 2014г. по 0,4'!G190</f>
        <v>0</v>
      </c>
      <c r="H193" s="31">
        <f>'июнь 2014г. по 6-10'!H193+'июнь 2014г. по 0,4'!H190</f>
        <v>0</v>
      </c>
      <c r="I193" s="31">
        <f>'июнь 2014г. по 6-10'!I193+'июнь 2014г. по 0,4'!I190</f>
        <v>0</v>
      </c>
      <c r="J193" s="31">
        <f>'июнь 2014г. по 6-10'!J193+'июнь 2014г. по 0,4'!J190</f>
        <v>0</v>
      </c>
      <c r="K193" s="31">
        <f>'июнь 2014г. по 6-10'!K193+'июнь 2014г. по 0,4'!K190</f>
        <v>0</v>
      </c>
      <c r="L193" s="31">
        <f>'июнь 2014г. по 6-10'!L193+'июнь 2014г. по 0,4'!L190</f>
        <v>0</v>
      </c>
      <c r="M193" s="31">
        <f>'июнь 2014г. по 6-10'!M193+'июнь 2014г. по 0,4'!M190</f>
        <v>0</v>
      </c>
      <c r="N193" s="31">
        <f>'июнь 2014г. по 6-10'!N193+'июнь 2014г. по 0,4'!N190</f>
        <v>0</v>
      </c>
      <c r="O193" s="31">
        <f>'июнь 2014г. по 6-10'!O193+'июнь 2014г. по 0,4'!O190</f>
        <v>0</v>
      </c>
      <c r="P193" s="31">
        <f>'июнь 2014г. по 6-10'!P193+'июнь 2014г. по 0,4'!P190</f>
        <v>0</v>
      </c>
      <c r="Q193" s="31">
        <f>'июнь 2014г. по 6-10'!Q193+'июнь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'июнь 2014г. по 6-10'!D194+'июнь 2014г. по 0,4'!D191</f>
        <v>0</v>
      </c>
      <c r="E194" s="31">
        <f>'июнь 2014г. по 6-10'!E194+'июнь 2014г. по 0,4'!E191</f>
        <v>0</v>
      </c>
      <c r="F194" s="31">
        <f>'июнь 2014г. по 6-10'!F194+'июнь 2014г. по 0,4'!F191</f>
        <v>0</v>
      </c>
      <c r="G194" s="31">
        <f>'июнь 2014г. по 6-10'!G194+'июнь 2014г. по 0,4'!G191</f>
        <v>0</v>
      </c>
      <c r="H194" s="31">
        <f>'июнь 2014г. по 6-10'!H194+'июнь 2014г. по 0,4'!H191</f>
        <v>0</v>
      </c>
      <c r="I194" s="31">
        <f>'июнь 2014г. по 6-10'!I194+'июнь 2014г. по 0,4'!I191</f>
        <v>0</v>
      </c>
      <c r="J194" s="31">
        <f>'июнь 2014г. по 6-10'!J194+'июнь 2014г. по 0,4'!J191</f>
        <v>0</v>
      </c>
      <c r="K194" s="31">
        <f>'июнь 2014г. по 6-10'!K194+'июнь 2014г. по 0,4'!K191</f>
        <v>0</v>
      </c>
      <c r="L194" s="31">
        <f>'июнь 2014г. по 6-10'!L194+'июнь 2014г. по 0,4'!L191</f>
        <v>0</v>
      </c>
      <c r="M194" s="31">
        <f>'июнь 2014г. по 6-10'!M194+'июнь 2014г. по 0,4'!M191</f>
        <v>0</v>
      </c>
      <c r="N194" s="31">
        <f>'июнь 2014г. по 6-10'!N194+'июнь 2014г. по 0,4'!N191</f>
        <v>0</v>
      </c>
      <c r="O194" s="31">
        <f>'июнь 2014г. по 6-10'!O194+'июнь 2014г. по 0,4'!O191</f>
        <v>0</v>
      </c>
      <c r="P194" s="31">
        <f>'июнь 2014г. по 6-10'!P194+'июнь 2014г. по 0,4'!P191</f>
        <v>0</v>
      </c>
      <c r="Q194" s="31">
        <f>'июнь 2014г. по 6-10'!Q194+'июнь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85">
        <f>SUM(D187:D194)</f>
        <v>3</v>
      </c>
      <c r="E195" s="85">
        <f t="shared" ref="E195:Q195" si="4">SUM(E187:E194)</f>
        <v>38</v>
      </c>
      <c r="F195" s="85">
        <f t="shared" si="4"/>
        <v>3</v>
      </c>
      <c r="G195" s="85">
        <f t="shared" si="4"/>
        <v>38</v>
      </c>
      <c r="H195" s="85">
        <f t="shared" si="4"/>
        <v>0</v>
      </c>
      <c r="I195" s="85">
        <f t="shared" si="4"/>
        <v>0</v>
      </c>
      <c r="J195" s="85">
        <f t="shared" si="4"/>
        <v>0</v>
      </c>
      <c r="K195" s="85">
        <f t="shared" si="4"/>
        <v>0</v>
      </c>
      <c r="L195" s="85">
        <f t="shared" si="4"/>
        <v>0</v>
      </c>
      <c r="M195" s="85">
        <f t="shared" si="4"/>
        <v>0</v>
      </c>
      <c r="N195" s="85">
        <f t="shared" si="4"/>
        <v>0</v>
      </c>
      <c r="O195" s="85">
        <f t="shared" si="4"/>
        <v>0</v>
      </c>
      <c r="P195" s="85">
        <f t="shared" si="4"/>
        <v>0</v>
      </c>
      <c r="Q195" s="85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'июнь 2014г. по 6-10'!D197+'июнь 2014г. по 0,4'!D194</f>
        <v>9</v>
      </c>
      <c r="E197" s="31">
        <f>'июнь 2014г. по 6-10'!E197+'июнь 2014г. по 0,4'!E194</f>
        <v>787</v>
      </c>
      <c r="F197" s="31">
        <f>'июнь 2014г. по 6-10'!F197+'июнь 2014г. по 0,4'!F194</f>
        <v>9</v>
      </c>
      <c r="G197" s="31">
        <f>'июнь 2014г. по 6-10'!G197+'июнь 2014г. по 0,4'!G194</f>
        <v>787</v>
      </c>
      <c r="H197" s="31">
        <f>'июнь 2014г. по 6-10'!H197+'июнь 2014г. по 0,4'!H194</f>
        <v>0</v>
      </c>
      <c r="I197" s="31">
        <f>'июнь 2014г. по 6-10'!I197+'июнь 2014г. по 0,4'!I194</f>
        <v>0</v>
      </c>
      <c r="J197" s="31">
        <f>'июнь 2014г. по 6-10'!J197+'июнь 2014г. по 0,4'!J194</f>
        <v>0</v>
      </c>
      <c r="K197" s="31">
        <f>'июнь 2014г. по 6-10'!K197+'июнь 2014г. по 0,4'!K194</f>
        <v>0</v>
      </c>
      <c r="L197" s="31">
        <f>'июнь 2014г. по 6-10'!L197+'июнь 2014г. по 0,4'!L194</f>
        <v>0</v>
      </c>
      <c r="M197" s="31">
        <f>'июнь 2014г. по 6-10'!M197+'июнь 2014г. по 0,4'!M194</f>
        <v>0</v>
      </c>
      <c r="N197" s="31">
        <f>'июнь 2014г. по 6-10'!N197+'июнь 2014г. по 0,4'!N194</f>
        <v>0</v>
      </c>
      <c r="O197" s="31">
        <f>'июнь 2014г. по 6-10'!O197+'июнь 2014г. по 0,4'!O194</f>
        <v>0</v>
      </c>
      <c r="P197" s="31">
        <f>'июнь 2014г. по 6-10'!P197+'июнь 2014г. по 0,4'!P194</f>
        <v>0</v>
      </c>
      <c r="Q197" s="31">
        <f>'июнь 2014г. по 6-10'!Q197+'июнь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'июнь 2014г. по 6-10'!D198+'июнь 2014г. по 0,4'!D195</f>
        <v>0</v>
      </c>
      <c r="E198" s="31">
        <f>'июнь 2014г. по 6-10'!E198+'июнь 2014г. по 0,4'!E195</f>
        <v>0</v>
      </c>
      <c r="F198" s="31">
        <f>'июнь 2014г. по 6-10'!F198+'июнь 2014г. по 0,4'!F195</f>
        <v>0</v>
      </c>
      <c r="G198" s="31">
        <f>'июнь 2014г. по 6-10'!G198+'июнь 2014г. по 0,4'!G195</f>
        <v>0</v>
      </c>
      <c r="H198" s="31">
        <f>'июнь 2014г. по 6-10'!H198+'июнь 2014г. по 0,4'!H195</f>
        <v>0</v>
      </c>
      <c r="I198" s="31">
        <f>'июнь 2014г. по 6-10'!I198+'июнь 2014г. по 0,4'!I195</f>
        <v>0</v>
      </c>
      <c r="J198" s="31">
        <f>'июнь 2014г. по 6-10'!J198+'июнь 2014г. по 0,4'!J195</f>
        <v>0</v>
      </c>
      <c r="K198" s="31">
        <f>'июнь 2014г. по 6-10'!K198+'июнь 2014г. по 0,4'!K195</f>
        <v>0</v>
      </c>
      <c r="L198" s="31">
        <f>'июнь 2014г. по 6-10'!L198+'июнь 2014г. по 0,4'!L195</f>
        <v>0</v>
      </c>
      <c r="M198" s="31">
        <f>'июнь 2014г. по 6-10'!M198+'июнь 2014г. по 0,4'!M195</f>
        <v>0</v>
      </c>
      <c r="N198" s="31">
        <f>'июнь 2014г. по 6-10'!N198+'июнь 2014г. по 0,4'!N195</f>
        <v>0</v>
      </c>
      <c r="O198" s="31">
        <f>'июнь 2014г. по 6-10'!O198+'июнь 2014г. по 0,4'!O195</f>
        <v>0</v>
      </c>
      <c r="P198" s="31">
        <f>'июнь 2014г. по 6-10'!P198+'июнь 2014г. по 0,4'!P195</f>
        <v>0</v>
      </c>
      <c r="Q198" s="31">
        <f>'июнь 2014г. по 6-10'!Q198+'июнь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'июнь 2014г. по 6-10'!D199+'июнь 2014г. по 0,4'!D196</f>
        <v>1</v>
      </c>
      <c r="E199" s="31">
        <f>'июнь 2014г. по 6-10'!E199+'июнь 2014г. по 0,4'!E196</f>
        <v>30</v>
      </c>
      <c r="F199" s="31">
        <f>'июнь 2014г. по 6-10'!F199+'июнь 2014г. по 0,4'!F196</f>
        <v>1</v>
      </c>
      <c r="G199" s="31">
        <f>'июнь 2014г. по 6-10'!G199+'июнь 2014г. по 0,4'!G196</f>
        <v>30</v>
      </c>
      <c r="H199" s="31">
        <f>'июнь 2014г. по 6-10'!H199+'июнь 2014г. по 0,4'!H196</f>
        <v>0</v>
      </c>
      <c r="I199" s="31">
        <f>'июнь 2014г. по 6-10'!I199+'июнь 2014г. по 0,4'!I196</f>
        <v>0</v>
      </c>
      <c r="J199" s="31">
        <f>'июнь 2014г. по 6-10'!J199+'июнь 2014г. по 0,4'!J196</f>
        <v>0</v>
      </c>
      <c r="K199" s="31">
        <f>'июнь 2014г. по 6-10'!K199+'июнь 2014г. по 0,4'!K196</f>
        <v>0</v>
      </c>
      <c r="L199" s="31">
        <f>'июнь 2014г. по 6-10'!L199+'июнь 2014г. по 0,4'!L196</f>
        <v>0</v>
      </c>
      <c r="M199" s="31">
        <f>'июнь 2014г. по 6-10'!M199+'июнь 2014г. по 0,4'!M196</f>
        <v>0</v>
      </c>
      <c r="N199" s="31">
        <f>'июнь 2014г. по 6-10'!N199+'июнь 2014г. по 0,4'!N196</f>
        <v>0</v>
      </c>
      <c r="O199" s="31">
        <f>'июнь 2014г. по 6-10'!O199+'июнь 2014г. по 0,4'!O196</f>
        <v>0</v>
      </c>
      <c r="P199" s="31">
        <f>'июнь 2014г. по 6-10'!P199+'июнь 2014г. по 0,4'!P196</f>
        <v>0</v>
      </c>
      <c r="Q199" s="31">
        <f>'июнь 2014г. по 6-10'!Q199+'июнь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'июнь 2014г. по 6-10'!D200+'июнь 2014г. по 0,4'!D197</f>
        <v>0</v>
      </c>
      <c r="E200" s="31">
        <f>'июнь 2014г. по 6-10'!E200+'июнь 2014г. по 0,4'!E197</f>
        <v>0</v>
      </c>
      <c r="F200" s="31">
        <f>'июнь 2014г. по 6-10'!F200+'июнь 2014г. по 0,4'!F197</f>
        <v>0</v>
      </c>
      <c r="G200" s="31">
        <f>'июнь 2014г. по 6-10'!G200+'июнь 2014г. по 0,4'!G197</f>
        <v>0</v>
      </c>
      <c r="H200" s="31">
        <f>'июнь 2014г. по 6-10'!H200+'июнь 2014г. по 0,4'!H197</f>
        <v>0</v>
      </c>
      <c r="I200" s="31">
        <f>'июнь 2014г. по 6-10'!I200+'июнь 2014г. по 0,4'!I197</f>
        <v>0</v>
      </c>
      <c r="J200" s="31">
        <f>'июнь 2014г. по 6-10'!J200+'июнь 2014г. по 0,4'!J197</f>
        <v>0</v>
      </c>
      <c r="K200" s="31">
        <f>'июнь 2014г. по 6-10'!K200+'июнь 2014г. по 0,4'!K197</f>
        <v>0</v>
      </c>
      <c r="L200" s="31">
        <f>'июнь 2014г. по 6-10'!L200+'июнь 2014г. по 0,4'!L197</f>
        <v>0</v>
      </c>
      <c r="M200" s="31">
        <f>'июнь 2014г. по 6-10'!M200+'июнь 2014г. по 0,4'!M197</f>
        <v>0</v>
      </c>
      <c r="N200" s="31">
        <f>'июнь 2014г. по 6-10'!N200+'июнь 2014г. по 0,4'!N197</f>
        <v>0</v>
      </c>
      <c r="O200" s="31">
        <f>'июнь 2014г. по 6-10'!O200+'июнь 2014г. по 0,4'!O197</f>
        <v>0</v>
      </c>
      <c r="P200" s="31">
        <f>'июнь 2014г. по 6-10'!P200+'июнь 2014г. по 0,4'!P197</f>
        <v>0</v>
      </c>
      <c r="Q200" s="31">
        <f>'июнь 2014г. по 6-10'!Q200+'июнь 2014г. по 0,4'!Q197</f>
        <v>0</v>
      </c>
    </row>
    <row r="201" spans="1:17" ht="12.75" customHeight="1" x14ac:dyDescent="0.2">
      <c r="A201" s="18"/>
      <c r="B201" s="53"/>
      <c r="C201" s="50" t="s">
        <v>154</v>
      </c>
      <c r="D201" s="31">
        <f>'июнь 2014г. по 6-10'!D201+'июнь 2014г. по 0,4'!D198</f>
        <v>2</v>
      </c>
      <c r="E201" s="31">
        <f>'июнь 2014г. по 6-10'!E201+'июнь 2014г. по 0,4'!E198</f>
        <v>30</v>
      </c>
      <c r="F201" s="31">
        <f>'июнь 2014г. по 6-10'!F201+'июнь 2014г. по 0,4'!F198</f>
        <v>2</v>
      </c>
      <c r="G201" s="31">
        <f>'июнь 2014г. по 6-10'!G201+'июнь 2014г. по 0,4'!G198</f>
        <v>30</v>
      </c>
      <c r="H201" s="31">
        <f>'июнь 2014г. по 6-10'!H201+'июнь 2014г. по 0,4'!H198</f>
        <v>0</v>
      </c>
      <c r="I201" s="31">
        <f>'июнь 2014г. по 6-10'!I201+'июнь 2014г. по 0,4'!I198</f>
        <v>0</v>
      </c>
      <c r="J201" s="31">
        <f>'июнь 2014г. по 6-10'!J201+'июнь 2014г. по 0,4'!J198</f>
        <v>0</v>
      </c>
      <c r="K201" s="31">
        <f>'июнь 2014г. по 6-10'!K201+'июнь 2014г. по 0,4'!K198</f>
        <v>0</v>
      </c>
      <c r="L201" s="31">
        <f>'июнь 2014г. по 6-10'!L201+'июнь 2014г. по 0,4'!L198</f>
        <v>0</v>
      </c>
      <c r="M201" s="31">
        <f>'июнь 2014г. по 6-10'!M201+'июнь 2014г. по 0,4'!M198</f>
        <v>0</v>
      </c>
      <c r="N201" s="31">
        <f>'июнь 2014г. по 6-10'!N201+'июнь 2014г. по 0,4'!N198</f>
        <v>0</v>
      </c>
      <c r="O201" s="31">
        <f>'июнь 2014г. по 6-10'!O201+'июнь 2014г. по 0,4'!O198</f>
        <v>0</v>
      </c>
      <c r="P201" s="31">
        <f>'июнь 2014г. по 6-10'!P201+'июнь 2014г. по 0,4'!P198</f>
        <v>0</v>
      </c>
      <c r="Q201" s="31">
        <f>'июнь 2014г. по 6-10'!Q201+'июнь 2014г. по 0,4'!Q198</f>
        <v>0</v>
      </c>
    </row>
    <row r="202" spans="1:17" ht="12.75" customHeight="1" x14ac:dyDescent="0.2">
      <c r="A202" s="18"/>
      <c r="B202" s="53"/>
      <c r="C202" s="50" t="s">
        <v>264</v>
      </c>
      <c r="D202" s="31">
        <f>'июнь 2014г. по 6-10'!D202+'июнь 2014г. по 0,4'!D199</f>
        <v>5</v>
      </c>
      <c r="E202" s="31">
        <f>'июнь 2014г. по 6-10'!E202+'июнь 2014г. по 0,4'!E199</f>
        <v>53</v>
      </c>
      <c r="F202" s="31">
        <f>'июнь 2014г. по 6-10'!F202+'июнь 2014г. по 0,4'!F199</f>
        <v>5</v>
      </c>
      <c r="G202" s="31">
        <f>'июнь 2014г. по 6-10'!G202+'июнь 2014г. по 0,4'!G199</f>
        <v>53</v>
      </c>
      <c r="H202" s="31">
        <f>'июнь 2014г. по 6-10'!H202+'июнь 2014г. по 0,4'!H199</f>
        <v>0</v>
      </c>
      <c r="I202" s="31">
        <f>'июнь 2014г. по 6-10'!I202+'июнь 2014г. по 0,4'!I199</f>
        <v>0</v>
      </c>
      <c r="J202" s="31">
        <f>'июнь 2014г. по 6-10'!J202+'июнь 2014г. по 0,4'!J199</f>
        <v>0</v>
      </c>
      <c r="K202" s="31">
        <f>'июнь 2014г. по 6-10'!K202+'июнь 2014г. по 0,4'!K199</f>
        <v>0</v>
      </c>
      <c r="L202" s="31">
        <f>'июнь 2014г. по 6-10'!L202+'июнь 2014г. по 0,4'!L199</f>
        <v>0</v>
      </c>
      <c r="M202" s="31">
        <f>'июнь 2014г. по 6-10'!M202+'июнь 2014г. по 0,4'!M199</f>
        <v>0</v>
      </c>
      <c r="N202" s="31">
        <f>'июнь 2014г. по 6-10'!N202+'июнь 2014г. по 0,4'!N199</f>
        <v>0</v>
      </c>
      <c r="O202" s="31">
        <f>'июнь 2014г. по 6-10'!O202+'июнь 2014г. по 0,4'!O199</f>
        <v>0</v>
      </c>
      <c r="P202" s="31">
        <f>'июнь 2014г. по 6-10'!P202+'июнь 2014г. по 0,4'!P199</f>
        <v>0</v>
      </c>
      <c r="Q202" s="31">
        <f>'июнь 2014г. по 6-10'!Q202+'июнь 2014г. по 0,4'!Q199</f>
        <v>0</v>
      </c>
    </row>
    <row r="203" spans="1:17" ht="12.75" customHeight="1" x14ac:dyDescent="0.2">
      <c r="A203" s="18"/>
      <c r="B203" s="18"/>
      <c r="C203" s="86" t="s">
        <v>30</v>
      </c>
      <c r="D203" s="85">
        <f>SUM(D197:D202)</f>
        <v>17</v>
      </c>
      <c r="E203" s="85">
        <f t="shared" ref="E203:Q203" si="5">SUM(E197:E202)</f>
        <v>900</v>
      </c>
      <c r="F203" s="85">
        <f t="shared" si="5"/>
        <v>17</v>
      </c>
      <c r="G203" s="85">
        <f t="shared" si="5"/>
        <v>900</v>
      </c>
      <c r="H203" s="85">
        <f t="shared" si="5"/>
        <v>0</v>
      </c>
      <c r="I203" s="85">
        <f t="shared" si="5"/>
        <v>0</v>
      </c>
      <c r="J203" s="85">
        <f t="shared" si="5"/>
        <v>0</v>
      </c>
      <c r="K203" s="85">
        <f t="shared" si="5"/>
        <v>0</v>
      </c>
      <c r="L203" s="85">
        <f t="shared" si="5"/>
        <v>0</v>
      </c>
      <c r="M203" s="85">
        <f t="shared" si="5"/>
        <v>0</v>
      </c>
      <c r="N203" s="85">
        <f t="shared" si="5"/>
        <v>0</v>
      </c>
      <c r="O203" s="85">
        <f t="shared" si="5"/>
        <v>0</v>
      </c>
      <c r="P203" s="85">
        <f t="shared" si="5"/>
        <v>0</v>
      </c>
      <c r="Q203" s="85">
        <f t="shared" si="5"/>
        <v>0</v>
      </c>
    </row>
    <row r="204" spans="1:17" ht="15" x14ac:dyDescent="0.25">
      <c r="A204" s="18"/>
      <c r="B204" s="18"/>
      <c r="C204" s="51" t="s">
        <v>305</v>
      </c>
      <c r="D204" s="31"/>
      <c r="E204" s="31"/>
      <c r="F204" s="31"/>
      <c r="G204" s="31"/>
      <c r="H204" s="47"/>
      <c r="I204" s="47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">
      <c r="A205" s="18"/>
      <c r="B205" s="53"/>
      <c r="C205" s="50" t="s">
        <v>266</v>
      </c>
      <c r="D205" s="31">
        <f>'июнь 2014г. по 6-10'!D205+'июнь 2014г. по 0,4'!D202</f>
        <v>1</v>
      </c>
      <c r="E205" s="31">
        <f>'июнь 2014г. по 6-10'!E205+'июнь 2014г. по 0,4'!E202</f>
        <v>96</v>
      </c>
      <c r="F205" s="31">
        <f>'июнь 2014г. по 6-10'!F205+'июнь 2014г. по 0,4'!F202</f>
        <v>1</v>
      </c>
      <c r="G205" s="31">
        <f>'июнь 2014г. по 6-10'!G205+'июнь 2014г. по 0,4'!G202</f>
        <v>96</v>
      </c>
      <c r="H205" s="31">
        <f>'июнь 2014г. по 6-10'!H205+'июнь 2014г. по 0,4'!H202</f>
        <v>0</v>
      </c>
      <c r="I205" s="31">
        <f>'июнь 2014г. по 6-10'!I205+'июнь 2014г. по 0,4'!I202</f>
        <v>0</v>
      </c>
      <c r="J205" s="31">
        <f>'июнь 2014г. по 6-10'!J205+'июнь 2014г. по 0,4'!J202</f>
        <v>0</v>
      </c>
      <c r="K205" s="31">
        <f>'июнь 2014г. по 6-10'!K205+'июнь 2014г. по 0,4'!K202</f>
        <v>0</v>
      </c>
      <c r="L205" s="31">
        <f>'июнь 2014г. по 6-10'!L205+'июнь 2014г. по 0,4'!L202</f>
        <v>0</v>
      </c>
      <c r="M205" s="31">
        <f>'июнь 2014г. по 6-10'!M205+'июнь 2014г. по 0,4'!M202</f>
        <v>0</v>
      </c>
      <c r="N205" s="31">
        <f>'июнь 2014г. по 6-10'!N205+'июнь 2014г. по 0,4'!N202</f>
        <v>0</v>
      </c>
      <c r="O205" s="31">
        <f>'июнь 2014г. по 6-10'!O205+'июнь 2014г. по 0,4'!O202</f>
        <v>0</v>
      </c>
      <c r="P205" s="31">
        <f>'июнь 2014г. по 6-10'!P205+'июнь 2014г. по 0,4'!P202</f>
        <v>0</v>
      </c>
      <c r="Q205" s="31">
        <f>'июнь 2014г. по 6-10'!Q205+'июнь 2014г. по 0,4'!Q202</f>
        <v>0</v>
      </c>
    </row>
    <row r="206" spans="1:17" ht="12.75" customHeight="1" x14ac:dyDescent="0.2">
      <c r="A206" s="18"/>
      <c r="B206" s="53"/>
      <c r="C206" s="50" t="s">
        <v>267</v>
      </c>
      <c r="D206" s="31">
        <f>'июнь 2014г. по 6-10'!D206+'июнь 2014г. по 0,4'!D203</f>
        <v>0</v>
      </c>
      <c r="E206" s="31">
        <f>'июнь 2014г. по 6-10'!E206+'июнь 2014г. по 0,4'!E203</f>
        <v>0</v>
      </c>
      <c r="F206" s="31">
        <f>'июнь 2014г. по 6-10'!F206+'июнь 2014г. по 0,4'!F203</f>
        <v>0</v>
      </c>
      <c r="G206" s="31">
        <f>'июнь 2014г. по 6-10'!G206+'июнь 2014г. по 0,4'!G203</f>
        <v>0</v>
      </c>
      <c r="H206" s="31">
        <f>'июнь 2014г. по 6-10'!H206+'июнь 2014г. по 0,4'!H203</f>
        <v>0</v>
      </c>
      <c r="I206" s="31">
        <f>'июнь 2014г. по 6-10'!I206+'июнь 2014г. по 0,4'!I203</f>
        <v>0</v>
      </c>
      <c r="J206" s="31">
        <f>'июнь 2014г. по 6-10'!J206+'июнь 2014г. по 0,4'!J203</f>
        <v>0</v>
      </c>
      <c r="K206" s="31">
        <f>'июнь 2014г. по 6-10'!K206+'июнь 2014г. по 0,4'!K203</f>
        <v>0</v>
      </c>
      <c r="L206" s="31">
        <f>'июнь 2014г. по 6-10'!L206+'июнь 2014г. по 0,4'!L203</f>
        <v>0</v>
      </c>
      <c r="M206" s="31">
        <f>'июнь 2014г. по 6-10'!M206+'июнь 2014г. по 0,4'!M203</f>
        <v>0</v>
      </c>
      <c r="N206" s="31">
        <f>'июнь 2014г. по 6-10'!N206+'июнь 2014г. по 0,4'!N203</f>
        <v>0</v>
      </c>
      <c r="O206" s="31">
        <f>'июнь 2014г. по 6-10'!O206+'июнь 2014г. по 0,4'!O203</f>
        <v>0</v>
      </c>
      <c r="P206" s="31">
        <f>'июнь 2014г. по 6-10'!P206+'июнь 2014г. по 0,4'!P203</f>
        <v>0</v>
      </c>
      <c r="Q206" s="31">
        <f>'июнь 2014г. по 6-10'!Q206+'июнь 2014г. по 0,4'!Q203</f>
        <v>0</v>
      </c>
    </row>
    <row r="207" spans="1:17" ht="12.75" customHeight="1" x14ac:dyDescent="0.2">
      <c r="A207" s="18"/>
      <c r="B207" s="53"/>
      <c r="C207" s="57" t="s">
        <v>268</v>
      </c>
      <c r="D207" s="31">
        <f>'июнь 2014г. по 6-10'!D207+'июнь 2014г. по 0,4'!D204</f>
        <v>0</v>
      </c>
      <c r="E207" s="31">
        <f>'июнь 2014г. по 6-10'!E207+'июнь 2014г. по 0,4'!E204</f>
        <v>0</v>
      </c>
      <c r="F207" s="31">
        <f>'июнь 2014г. по 6-10'!F207+'июнь 2014г. по 0,4'!F204</f>
        <v>0</v>
      </c>
      <c r="G207" s="31">
        <f>'июнь 2014г. по 6-10'!G207+'июнь 2014г. по 0,4'!G204</f>
        <v>0</v>
      </c>
      <c r="H207" s="31">
        <f>'июнь 2014г. по 6-10'!H207+'июнь 2014г. по 0,4'!H204</f>
        <v>0</v>
      </c>
      <c r="I207" s="31">
        <f>'июнь 2014г. по 6-10'!I207+'июнь 2014г. по 0,4'!I204</f>
        <v>0</v>
      </c>
      <c r="J207" s="31">
        <f>'июнь 2014г. по 6-10'!J207+'июнь 2014г. по 0,4'!J204</f>
        <v>0</v>
      </c>
      <c r="K207" s="31">
        <f>'июнь 2014г. по 6-10'!K207+'июнь 2014г. по 0,4'!K204</f>
        <v>0</v>
      </c>
      <c r="L207" s="31">
        <f>'июнь 2014г. по 6-10'!L207+'июнь 2014г. по 0,4'!L204</f>
        <v>0</v>
      </c>
      <c r="M207" s="31">
        <f>'июнь 2014г. по 6-10'!M207+'июнь 2014г. по 0,4'!M204</f>
        <v>0</v>
      </c>
      <c r="N207" s="31">
        <f>'июнь 2014г. по 6-10'!N207+'июнь 2014г. по 0,4'!N204</f>
        <v>0</v>
      </c>
      <c r="O207" s="31">
        <f>'июнь 2014г. по 6-10'!O207+'июнь 2014г. по 0,4'!O204</f>
        <v>0</v>
      </c>
      <c r="P207" s="31">
        <f>'июнь 2014г. по 6-10'!P207+'июнь 2014г. по 0,4'!P204</f>
        <v>0</v>
      </c>
      <c r="Q207" s="31">
        <f>'июнь 2014г. по 6-10'!Q207+'июнь 2014г. по 0,4'!Q204</f>
        <v>0</v>
      </c>
    </row>
    <row r="208" spans="1:17" ht="12.75" customHeight="1" x14ac:dyDescent="0.2">
      <c r="A208" s="18"/>
      <c r="B208" s="53"/>
      <c r="C208" s="50" t="s">
        <v>269</v>
      </c>
      <c r="D208" s="31">
        <f>'июнь 2014г. по 6-10'!D208+'июнь 2014г. по 0,4'!D205</f>
        <v>0</v>
      </c>
      <c r="E208" s="31">
        <f>'июнь 2014г. по 6-10'!E208+'июнь 2014г. по 0,4'!E205</f>
        <v>0</v>
      </c>
      <c r="F208" s="31">
        <f>'июнь 2014г. по 6-10'!F208+'июнь 2014г. по 0,4'!F205</f>
        <v>0</v>
      </c>
      <c r="G208" s="31">
        <f>'июнь 2014г. по 6-10'!G208+'июнь 2014г. по 0,4'!G205</f>
        <v>0</v>
      </c>
      <c r="H208" s="31">
        <f>'июнь 2014г. по 6-10'!H208+'июнь 2014г. по 0,4'!H205</f>
        <v>0</v>
      </c>
      <c r="I208" s="31">
        <f>'июнь 2014г. по 6-10'!I208+'июнь 2014г. по 0,4'!I205</f>
        <v>0</v>
      </c>
      <c r="J208" s="31">
        <f>'июнь 2014г. по 6-10'!J208+'июнь 2014г. по 0,4'!J205</f>
        <v>0</v>
      </c>
      <c r="K208" s="31">
        <f>'июнь 2014г. по 6-10'!K208+'июнь 2014г. по 0,4'!K205</f>
        <v>0</v>
      </c>
      <c r="L208" s="31">
        <f>'июнь 2014г. по 6-10'!L208+'июнь 2014г. по 0,4'!L205</f>
        <v>0</v>
      </c>
      <c r="M208" s="31">
        <f>'июнь 2014г. по 6-10'!M208+'июнь 2014г. по 0,4'!M205</f>
        <v>0</v>
      </c>
      <c r="N208" s="31">
        <f>'июнь 2014г. по 6-10'!N208+'июнь 2014г. по 0,4'!N205</f>
        <v>0</v>
      </c>
      <c r="O208" s="31">
        <f>'июнь 2014г. по 6-10'!O208+'июнь 2014г. по 0,4'!O205</f>
        <v>0</v>
      </c>
      <c r="P208" s="31">
        <f>'июнь 2014г. по 6-10'!P208+'июнь 2014г. по 0,4'!P205</f>
        <v>0</v>
      </c>
      <c r="Q208" s="31">
        <f>'июнь 2014г. по 6-10'!Q208+'июнь 2014г. по 0,4'!Q205</f>
        <v>0</v>
      </c>
    </row>
    <row r="209" spans="1:17" ht="12.75" customHeight="1" x14ac:dyDescent="0.2">
      <c r="A209" s="18"/>
      <c r="B209" s="53"/>
      <c r="C209" s="50" t="s">
        <v>270</v>
      </c>
      <c r="D209" s="31">
        <f>'июнь 2014г. по 6-10'!D209+'июнь 2014г. по 0,4'!D206</f>
        <v>21</v>
      </c>
      <c r="E209" s="31">
        <f>'июнь 2014г. по 6-10'!E209+'июнь 2014г. по 0,4'!E206</f>
        <v>532.9</v>
      </c>
      <c r="F209" s="31">
        <f>'июнь 2014г. по 6-10'!F209+'июнь 2014г. по 0,4'!F206</f>
        <v>21</v>
      </c>
      <c r="G209" s="31">
        <f>'июнь 2014г. по 6-10'!G209+'июнь 2014г. по 0,4'!G206</f>
        <v>532.9</v>
      </c>
      <c r="H209" s="31">
        <f>'июнь 2014г. по 6-10'!H209+'июнь 2014г. по 0,4'!H206</f>
        <v>0</v>
      </c>
      <c r="I209" s="31">
        <f>'июнь 2014г. по 6-10'!I209+'июнь 2014г. по 0,4'!I206</f>
        <v>0</v>
      </c>
      <c r="J209" s="31">
        <f>'июнь 2014г. по 6-10'!J209+'июнь 2014г. по 0,4'!J206</f>
        <v>0</v>
      </c>
      <c r="K209" s="31">
        <f>'июнь 2014г. по 6-10'!K209+'июнь 2014г. по 0,4'!K206</f>
        <v>0</v>
      </c>
      <c r="L209" s="31">
        <f>'июнь 2014г. по 6-10'!L209+'июнь 2014г. по 0,4'!L206</f>
        <v>0</v>
      </c>
      <c r="M209" s="31">
        <f>'июнь 2014г. по 6-10'!M209+'июнь 2014г. по 0,4'!M206</f>
        <v>0</v>
      </c>
      <c r="N209" s="31">
        <f>'июнь 2014г. по 6-10'!N209+'июнь 2014г. по 0,4'!N206</f>
        <v>0</v>
      </c>
      <c r="O209" s="31">
        <f>'июнь 2014г. по 6-10'!O209+'июнь 2014г. по 0,4'!O206</f>
        <v>0</v>
      </c>
      <c r="P209" s="31">
        <f>'июнь 2014г. по 6-10'!P209+'июнь 2014г. по 0,4'!P206</f>
        <v>0</v>
      </c>
      <c r="Q209" s="31">
        <f>'июнь 2014г. по 6-10'!Q209+'июнь 2014г. по 0,4'!Q206</f>
        <v>0</v>
      </c>
    </row>
    <row r="210" spans="1:17" ht="12.75" customHeight="1" x14ac:dyDescent="0.2">
      <c r="A210" s="18"/>
      <c r="B210" s="53"/>
      <c r="C210" s="50" t="s">
        <v>271</v>
      </c>
      <c r="D210" s="31">
        <f>'июнь 2014г. по 6-10'!D210+'июнь 2014г. по 0,4'!D207</f>
        <v>6</v>
      </c>
      <c r="E210" s="31">
        <f>'июнь 2014г. по 6-10'!E210+'июнь 2014г. по 0,4'!E207</f>
        <v>45</v>
      </c>
      <c r="F210" s="31">
        <f>'июнь 2014г. по 6-10'!F210+'июнь 2014г. по 0,4'!F207</f>
        <v>6</v>
      </c>
      <c r="G210" s="31">
        <f>'июнь 2014г. по 6-10'!G210+'июнь 2014г. по 0,4'!G207</f>
        <v>45</v>
      </c>
      <c r="H210" s="31">
        <f>'июнь 2014г. по 6-10'!H210+'июнь 2014г. по 0,4'!H207</f>
        <v>0</v>
      </c>
      <c r="I210" s="31">
        <f>'июнь 2014г. по 6-10'!I210+'июнь 2014г. по 0,4'!I207</f>
        <v>0</v>
      </c>
      <c r="J210" s="31">
        <f>'июнь 2014г. по 6-10'!J210+'июнь 2014г. по 0,4'!J207</f>
        <v>0</v>
      </c>
      <c r="K210" s="31">
        <f>'июнь 2014г. по 6-10'!K210+'июнь 2014г. по 0,4'!K207</f>
        <v>0</v>
      </c>
      <c r="L210" s="31">
        <f>'июнь 2014г. по 6-10'!L210+'июнь 2014г. по 0,4'!L207</f>
        <v>0</v>
      </c>
      <c r="M210" s="31">
        <f>'июнь 2014г. по 6-10'!M210+'июнь 2014г. по 0,4'!M207</f>
        <v>0</v>
      </c>
      <c r="N210" s="31">
        <f>'июнь 2014г. по 6-10'!N210+'июнь 2014г. по 0,4'!N207</f>
        <v>0</v>
      </c>
      <c r="O210" s="31">
        <f>'июнь 2014г. по 6-10'!O210+'июнь 2014г. по 0,4'!O207</f>
        <v>0</v>
      </c>
      <c r="P210" s="31">
        <f>'июнь 2014г. по 6-10'!P210+'июнь 2014г. по 0,4'!P207</f>
        <v>0</v>
      </c>
      <c r="Q210" s="31">
        <f>'июнь 2014г. по 6-10'!Q210+'июнь 2014г. по 0,4'!Q207</f>
        <v>0</v>
      </c>
    </row>
    <row r="211" spans="1:17" ht="12.75" customHeight="1" x14ac:dyDescent="0.2">
      <c r="A211" s="18"/>
      <c r="B211" s="53"/>
      <c r="C211" s="50" t="s">
        <v>272</v>
      </c>
      <c r="D211" s="31">
        <f>'июнь 2014г. по 6-10'!D211+'июнь 2014г. по 0,4'!D208</f>
        <v>2</v>
      </c>
      <c r="E211" s="31">
        <f>'июнь 2014г. по 6-10'!E211+'июнь 2014г. по 0,4'!E208</f>
        <v>10.5</v>
      </c>
      <c r="F211" s="31">
        <f>'июнь 2014г. по 6-10'!F211+'июнь 2014г. по 0,4'!F208</f>
        <v>2</v>
      </c>
      <c r="G211" s="31">
        <f>'июнь 2014г. по 6-10'!G211+'июнь 2014г. по 0,4'!G208</f>
        <v>10.5</v>
      </c>
      <c r="H211" s="31">
        <f>'июнь 2014г. по 6-10'!H211+'июнь 2014г. по 0,4'!H208</f>
        <v>0</v>
      </c>
      <c r="I211" s="31">
        <f>'июнь 2014г. по 6-10'!I211+'июнь 2014г. по 0,4'!I208</f>
        <v>0</v>
      </c>
      <c r="J211" s="31">
        <f>'июнь 2014г. по 6-10'!J211+'июнь 2014г. по 0,4'!J208</f>
        <v>0</v>
      </c>
      <c r="K211" s="31">
        <f>'июнь 2014г. по 6-10'!K211+'июнь 2014г. по 0,4'!K208</f>
        <v>0</v>
      </c>
      <c r="L211" s="31">
        <f>'июнь 2014г. по 6-10'!L211+'июнь 2014г. по 0,4'!L208</f>
        <v>0</v>
      </c>
      <c r="M211" s="31">
        <f>'июнь 2014г. по 6-10'!M211+'июнь 2014г. по 0,4'!M208</f>
        <v>0</v>
      </c>
      <c r="N211" s="31">
        <f>'июнь 2014г. по 6-10'!N211+'июнь 2014г. по 0,4'!N208</f>
        <v>0</v>
      </c>
      <c r="O211" s="31">
        <f>'июнь 2014г. по 6-10'!O211+'июнь 2014г. по 0,4'!O208</f>
        <v>0</v>
      </c>
      <c r="P211" s="31">
        <f>'июнь 2014г. по 6-10'!P211+'июнь 2014г. по 0,4'!P208</f>
        <v>0</v>
      </c>
      <c r="Q211" s="31">
        <f>'июнь 2014г. по 6-10'!Q211+'июнь 2014г. по 0,4'!Q208</f>
        <v>0</v>
      </c>
    </row>
    <row r="212" spans="1:17" ht="12.75" customHeight="1" x14ac:dyDescent="0.2">
      <c r="A212" s="18"/>
      <c r="B212" s="53"/>
      <c r="C212" s="50" t="s">
        <v>273</v>
      </c>
      <c r="D212" s="31">
        <f>'июнь 2014г. по 6-10'!D212+'июнь 2014г. по 0,4'!D209</f>
        <v>2</v>
      </c>
      <c r="E212" s="31">
        <f>'июнь 2014г. по 6-10'!E212+'июнь 2014г. по 0,4'!E209</f>
        <v>28</v>
      </c>
      <c r="F212" s="31">
        <f>'июнь 2014г. по 6-10'!F212+'июнь 2014г. по 0,4'!F209</f>
        <v>2</v>
      </c>
      <c r="G212" s="31">
        <f>'июнь 2014г. по 6-10'!G212+'июнь 2014г. по 0,4'!G209</f>
        <v>28</v>
      </c>
      <c r="H212" s="31">
        <f>'июнь 2014г. по 6-10'!H212+'июнь 2014г. по 0,4'!H209</f>
        <v>0</v>
      </c>
      <c r="I212" s="31">
        <f>'июнь 2014г. по 6-10'!I212+'июнь 2014г. по 0,4'!I209</f>
        <v>0</v>
      </c>
      <c r="J212" s="31">
        <f>'июнь 2014г. по 6-10'!J212+'июнь 2014г. по 0,4'!J209</f>
        <v>0</v>
      </c>
      <c r="K212" s="31">
        <f>'июнь 2014г. по 6-10'!K212+'июнь 2014г. по 0,4'!K209</f>
        <v>0</v>
      </c>
      <c r="L212" s="31">
        <f>'июнь 2014г. по 6-10'!L212+'июнь 2014г. по 0,4'!L209</f>
        <v>0</v>
      </c>
      <c r="M212" s="31">
        <f>'июнь 2014г. по 6-10'!M212+'июнь 2014г. по 0,4'!M209</f>
        <v>0</v>
      </c>
      <c r="N212" s="31">
        <f>'июнь 2014г. по 6-10'!N212+'июнь 2014г. по 0,4'!N209</f>
        <v>0</v>
      </c>
      <c r="O212" s="31">
        <f>'июнь 2014г. по 6-10'!O212+'июнь 2014г. по 0,4'!O209</f>
        <v>0</v>
      </c>
      <c r="P212" s="31">
        <f>'июнь 2014г. по 6-10'!P212+'июнь 2014г. по 0,4'!P209</f>
        <v>0</v>
      </c>
      <c r="Q212" s="31">
        <f>'июнь 2014г. по 6-10'!Q212+'июнь 2014г. по 0,4'!Q209</f>
        <v>0</v>
      </c>
    </row>
    <row r="213" spans="1:17" ht="12.75" customHeight="1" x14ac:dyDescent="0.2">
      <c r="A213" s="18"/>
      <c r="B213" s="53"/>
      <c r="C213" s="50" t="s">
        <v>274</v>
      </c>
      <c r="D213" s="31">
        <f>'июнь 2014г. по 6-10'!D213+'июнь 2014г. по 0,4'!D210</f>
        <v>1</v>
      </c>
      <c r="E213" s="31">
        <f>'июнь 2014г. по 6-10'!E213+'июнь 2014г. по 0,4'!E210</f>
        <v>10</v>
      </c>
      <c r="F213" s="31">
        <f>'июнь 2014г. по 6-10'!F213+'июнь 2014г. по 0,4'!F210</f>
        <v>1</v>
      </c>
      <c r="G213" s="31">
        <f>'июнь 2014г. по 6-10'!G213+'июнь 2014г. по 0,4'!G210</f>
        <v>10</v>
      </c>
      <c r="H213" s="31">
        <f>'июнь 2014г. по 6-10'!H213+'июнь 2014г. по 0,4'!H210</f>
        <v>0</v>
      </c>
      <c r="I213" s="31">
        <f>'июнь 2014г. по 6-10'!I213+'июнь 2014г. по 0,4'!I210</f>
        <v>0</v>
      </c>
      <c r="J213" s="31">
        <f>'июнь 2014г. по 6-10'!J213+'июнь 2014г. по 0,4'!J210</f>
        <v>0</v>
      </c>
      <c r="K213" s="31">
        <f>'июнь 2014г. по 6-10'!K213+'июнь 2014г. по 0,4'!K210</f>
        <v>0</v>
      </c>
      <c r="L213" s="31">
        <f>'июнь 2014г. по 6-10'!L213+'июнь 2014г. по 0,4'!L210</f>
        <v>0</v>
      </c>
      <c r="M213" s="31">
        <f>'июнь 2014г. по 6-10'!M213+'июнь 2014г. по 0,4'!M210</f>
        <v>0</v>
      </c>
      <c r="N213" s="31">
        <f>'июнь 2014г. по 6-10'!N213+'июнь 2014г. по 0,4'!N210</f>
        <v>0</v>
      </c>
      <c r="O213" s="31">
        <f>'июнь 2014г. по 6-10'!O213+'июнь 2014г. по 0,4'!O210</f>
        <v>0</v>
      </c>
      <c r="P213" s="31">
        <f>'июнь 2014г. по 6-10'!P213+'июнь 2014г. по 0,4'!P210</f>
        <v>0</v>
      </c>
      <c r="Q213" s="31">
        <f>'июнь 2014г. по 6-10'!Q213+'июнь 2014г. по 0,4'!Q210</f>
        <v>0</v>
      </c>
    </row>
    <row r="214" spans="1:17" ht="12.75" customHeight="1" x14ac:dyDescent="0.2">
      <c r="A214" s="18"/>
      <c r="B214" s="53"/>
      <c r="C214" s="50" t="s">
        <v>275</v>
      </c>
      <c r="D214" s="31">
        <f>'июнь 2014г. по 6-10'!D214+'июнь 2014г. по 0,4'!D211</f>
        <v>4</v>
      </c>
      <c r="E214" s="31">
        <f>'июнь 2014г. по 6-10'!E214+'июнь 2014г. по 0,4'!E211</f>
        <v>320</v>
      </c>
      <c r="F214" s="31">
        <f>'июнь 2014г. по 6-10'!F214+'июнь 2014г. по 0,4'!F211</f>
        <v>4</v>
      </c>
      <c r="G214" s="31">
        <f>'июнь 2014г. по 6-10'!G214+'июнь 2014г. по 0,4'!G211</f>
        <v>320</v>
      </c>
      <c r="H214" s="31">
        <f>'июнь 2014г. по 6-10'!H214+'июнь 2014г. по 0,4'!H211</f>
        <v>0</v>
      </c>
      <c r="I214" s="31">
        <f>'июнь 2014г. по 6-10'!I214+'июнь 2014г. по 0,4'!I211</f>
        <v>0</v>
      </c>
      <c r="J214" s="31">
        <f>'июнь 2014г. по 6-10'!J214+'июнь 2014г. по 0,4'!J211</f>
        <v>0</v>
      </c>
      <c r="K214" s="31">
        <f>'июнь 2014г. по 6-10'!K214+'июнь 2014г. по 0,4'!K211</f>
        <v>0</v>
      </c>
      <c r="L214" s="31">
        <f>'июнь 2014г. по 6-10'!L214+'июнь 2014г. по 0,4'!L211</f>
        <v>0</v>
      </c>
      <c r="M214" s="31">
        <f>'июнь 2014г. по 6-10'!M214+'июнь 2014г. по 0,4'!M211</f>
        <v>0</v>
      </c>
      <c r="N214" s="31">
        <f>'июнь 2014г. по 6-10'!N214+'июнь 2014г. по 0,4'!N211</f>
        <v>0</v>
      </c>
      <c r="O214" s="31">
        <f>'июнь 2014г. по 6-10'!O214+'июнь 2014г. по 0,4'!O211</f>
        <v>0</v>
      </c>
      <c r="P214" s="31">
        <f>'июнь 2014г. по 6-10'!P214+'июнь 2014г. по 0,4'!P211</f>
        <v>0</v>
      </c>
      <c r="Q214" s="31">
        <f>'июнь 2014г. по 6-10'!Q214+'июнь 2014г. по 0,4'!Q211</f>
        <v>0</v>
      </c>
    </row>
    <row r="215" spans="1:17" ht="12.75" customHeight="1" x14ac:dyDescent="0.2">
      <c r="A215" s="18"/>
      <c r="B215" s="53"/>
      <c r="C215" s="50" t="s">
        <v>276</v>
      </c>
      <c r="D215" s="31">
        <f>'июнь 2014г. по 6-10'!D215+'июнь 2014г. по 0,4'!D212</f>
        <v>6</v>
      </c>
      <c r="E215" s="31">
        <f>'июнь 2014г. по 6-10'!E215+'июнь 2014г. по 0,4'!E212</f>
        <v>58.8</v>
      </c>
      <c r="F215" s="31">
        <f>'июнь 2014г. по 6-10'!F215+'июнь 2014г. по 0,4'!F212</f>
        <v>6</v>
      </c>
      <c r="G215" s="31">
        <f>'июнь 2014г. по 6-10'!G215+'июнь 2014г. по 0,4'!G212</f>
        <v>58.8</v>
      </c>
      <c r="H215" s="31">
        <f>'июнь 2014г. по 6-10'!H215+'июнь 2014г. по 0,4'!H212</f>
        <v>0</v>
      </c>
      <c r="I215" s="31">
        <f>'июнь 2014г. по 6-10'!I215+'июнь 2014г. по 0,4'!I212</f>
        <v>0</v>
      </c>
      <c r="J215" s="31">
        <f>'июнь 2014г. по 6-10'!J215+'июнь 2014г. по 0,4'!J212</f>
        <v>0</v>
      </c>
      <c r="K215" s="31">
        <f>'июнь 2014г. по 6-10'!K215+'июнь 2014г. по 0,4'!K212</f>
        <v>0</v>
      </c>
      <c r="L215" s="31">
        <f>'июнь 2014г. по 6-10'!L215+'июнь 2014г. по 0,4'!L212</f>
        <v>0</v>
      </c>
      <c r="M215" s="31">
        <f>'июнь 2014г. по 6-10'!M215+'июнь 2014г. по 0,4'!M212</f>
        <v>0</v>
      </c>
      <c r="N215" s="31">
        <f>'июнь 2014г. по 6-10'!N215+'июнь 2014г. по 0,4'!N212</f>
        <v>0</v>
      </c>
      <c r="O215" s="31">
        <f>'июнь 2014г. по 6-10'!O215+'июнь 2014г. по 0,4'!O212</f>
        <v>0</v>
      </c>
      <c r="P215" s="31">
        <f>'июнь 2014г. по 6-10'!P215+'июнь 2014г. по 0,4'!P212</f>
        <v>0</v>
      </c>
      <c r="Q215" s="31">
        <f>'июнь 2014г. по 6-10'!Q215+'июнь 2014г. по 0,4'!Q212</f>
        <v>0</v>
      </c>
    </row>
    <row r="216" spans="1:17" ht="12.75" customHeight="1" x14ac:dyDescent="0.2">
      <c r="A216" s="18"/>
      <c r="B216" s="53"/>
      <c r="C216" s="50" t="s">
        <v>277</v>
      </c>
      <c r="D216" s="31">
        <f>'июнь 2014г. по 6-10'!D216+'июнь 2014г. по 0,4'!D213</f>
        <v>2</v>
      </c>
      <c r="E216" s="31">
        <f>'июнь 2014г. по 6-10'!E216+'июнь 2014г. по 0,4'!E213</f>
        <v>325</v>
      </c>
      <c r="F216" s="31">
        <f>'июнь 2014г. по 6-10'!F216+'июнь 2014г. по 0,4'!F213</f>
        <v>2</v>
      </c>
      <c r="G216" s="31">
        <f>'июнь 2014г. по 6-10'!G216+'июнь 2014г. по 0,4'!G213</f>
        <v>325</v>
      </c>
      <c r="H216" s="31">
        <f>'июнь 2014г. по 6-10'!H216+'июнь 2014г. по 0,4'!H213</f>
        <v>0</v>
      </c>
      <c r="I216" s="31">
        <f>'июнь 2014г. по 6-10'!I216+'июнь 2014г. по 0,4'!I213</f>
        <v>0</v>
      </c>
      <c r="J216" s="31">
        <f>'июнь 2014г. по 6-10'!J216+'июнь 2014г. по 0,4'!J213</f>
        <v>0</v>
      </c>
      <c r="K216" s="31">
        <f>'июнь 2014г. по 6-10'!K216+'июнь 2014г. по 0,4'!K213</f>
        <v>0</v>
      </c>
      <c r="L216" s="31">
        <f>'июнь 2014г. по 6-10'!L216+'июнь 2014г. по 0,4'!L213</f>
        <v>0</v>
      </c>
      <c r="M216" s="31">
        <f>'июнь 2014г. по 6-10'!M216+'июнь 2014г. по 0,4'!M213</f>
        <v>0</v>
      </c>
      <c r="N216" s="31">
        <f>'июнь 2014г. по 6-10'!N216+'июнь 2014г. по 0,4'!N213</f>
        <v>0</v>
      </c>
      <c r="O216" s="31">
        <f>'июнь 2014г. по 6-10'!O216+'июнь 2014г. по 0,4'!O213</f>
        <v>0</v>
      </c>
      <c r="P216" s="31">
        <f>'июнь 2014г. по 6-10'!P216+'июнь 2014г. по 0,4'!P213</f>
        <v>0</v>
      </c>
      <c r="Q216" s="31">
        <f>'июнь 2014г. по 6-10'!Q216+'июнь 2014г. по 0,4'!Q213</f>
        <v>0</v>
      </c>
    </row>
    <row r="217" spans="1:17" ht="12.75" customHeight="1" x14ac:dyDescent="0.2">
      <c r="A217" s="18"/>
      <c r="B217" s="53"/>
      <c r="C217" s="50" t="s">
        <v>278</v>
      </c>
      <c r="D217" s="31">
        <f>'июнь 2014г. по 6-10'!D217+'июнь 2014г. по 0,4'!D214</f>
        <v>3</v>
      </c>
      <c r="E217" s="31">
        <f>'июнь 2014г. по 6-10'!E217+'июнь 2014г. по 0,4'!E214</f>
        <v>32.4</v>
      </c>
      <c r="F217" s="31">
        <f>'июнь 2014г. по 6-10'!F217+'июнь 2014г. по 0,4'!F214</f>
        <v>3</v>
      </c>
      <c r="G217" s="31">
        <f>'июнь 2014г. по 6-10'!G217+'июнь 2014г. по 0,4'!G214</f>
        <v>32.4</v>
      </c>
      <c r="H217" s="31">
        <f>'июнь 2014г. по 6-10'!H217+'июнь 2014г. по 0,4'!H214</f>
        <v>0</v>
      </c>
      <c r="I217" s="31">
        <f>'июнь 2014г. по 6-10'!I217+'июнь 2014г. по 0,4'!I214</f>
        <v>0</v>
      </c>
      <c r="J217" s="31">
        <f>'июнь 2014г. по 6-10'!J217+'июнь 2014г. по 0,4'!J214</f>
        <v>0</v>
      </c>
      <c r="K217" s="31">
        <f>'июнь 2014г. по 6-10'!K217+'июнь 2014г. по 0,4'!K214</f>
        <v>0</v>
      </c>
      <c r="L217" s="31">
        <f>'июнь 2014г. по 6-10'!L217+'июнь 2014г. по 0,4'!L214</f>
        <v>0</v>
      </c>
      <c r="M217" s="31">
        <f>'июнь 2014г. по 6-10'!M217+'июнь 2014г. по 0,4'!M214</f>
        <v>0</v>
      </c>
      <c r="N217" s="31">
        <f>'июнь 2014г. по 6-10'!N217+'июнь 2014г. по 0,4'!N214</f>
        <v>0</v>
      </c>
      <c r="O217" s="31">
        <f>'июнь 2014г. по 6-10'!O217+'июнь 2014г. по 0,4'!O214</f>
        <v>0</v>
      </c>
      <c r="P217" s="31">
        <f>'июнь 2014г. по 6-10'!P217+'июнь 2014г. по 0,4'!P214</f>
        <v>0</v>
      </c>
      <c r="Q217" s="31">
        <f>'июнь 2014г. по 6-10'!Q217+'июнь 2014г. по 0,4'!Q214</f>
        <v>0</v>
      </c>
    </row>
    <row r="218" spans="1:17" ht="12.75" customHeight="1" x14ac:dyDescent="0.2">
      <c r="A218" s="18"/>
      <c r="B218" s="53"/>
      <c r="C218" s="50" t="s">
        <v>279</v>
      </c>
      <c r="D218" s="31">
        <f>'июнь 2014г. по 6-10'!D218+'июнь 2014г. по 0,4'!D215</f>
        <v>1</v>
      </c>
      <c r="E218" s="31">
        <f>'июнь 2014г. по 6-10'!E218+'июнь 2014г. по 0,4'!E215</f>
        <v>3</v>
      </c>
      <c r="F218" s="31">
        <f>'июнь 2014г. по 6-10'!F218+'июнь 2014г. по 0,4'!F215</f>
        <v>1</v>
      </c>
      <c r="G218" s="31">
        <f>'июнь 2014г. по 6-10'!G218+'июнь 2014г. по 0,4'!G215</f>
        <v>3</v>
      </c>
      <c r="H218" s="31">
        <f>'июнь 2014г. по 6-10'!H218+'июнь 2014г. по 0,4'!H215</f>
        <v>0</v>
      </c>
      <c r="I218" s="31">
        <f>'июнь 2014г. по 6-10'!I218+'июнь 2014г. по 0,4'!I215</f>
        <v>0</v>
      </c>
      <c r="J218" s="31">
        <f>'июнь 2014г. по 6-10'!J218+'июнь 2014г. по 0,4'!J215</f>
        <v>0</v>
      </c>
      <c r="K218" s="31">
        <f>'июнь 2014г. по 6-10'!K218+'июнь 2014г. по 0,4'!K215</f>
        <v>0</v>
      </c>
      <c r="L218" s="31">
        <f>'июнь 2014г. по 6-10'!L218+'июнь 2014г. по 0,4'!L215</f>
        <v>0</v>
      </c>
      <c r="M218" s="31">
        <f>'июнь 2014г. по 6-10'!M218+'июнь 2014г. по 0,4'!M215</f>
        <v>0</v>
      </c>
      <c r="N218" s="31">
        <f>'июнь 2014г. по 6-10'!N218+'июнь 2014г. по 0,4'!N215</f>
        <v>0</v>
      </c>
      <c r="O218" s="31">
        <f>'июнь 2014г. по 6-10'!O218+'июнь 2014г. по 0,4'!O215</f>
        <v>0</v>
      </c>
      <c r="P218" s="31">
        <f>'июнь 2014г. по 6-10'!P218+'июнь 2014г. по 0,4'!P215</f>
        <v>0</v>
      </c>
      <c r="Q218" s="31">
        <f>'июнь 2014г. по 6-10'!Q218+'июнь 2014г. по 0,4'!Q215</f>
        <v>0</v>
      </c>
    </row>
    <row r="219" spans="1:17" ht="12.75" customHeight="1" x14ac:dyDescent="0.2">
      <c r="A219" s="18"/>
      <c r="B219" s="53"/>
      <c r="C219" s="50" t="s">
        <v>280</v>
      </c>
      <c r="D219" s="31">
        <f>'июнь 2014г. по 6-10'!D219+'июнь 2014г. по 0,4'!D216</f>
        <v>2</v>
      </c>
      <c r="E219" s="31">
        <f>'июнь 2014г. по 6-10'!E219+'июнь 2014г. по 0,4'!E216</f>
        <v>19.399999999999999</v>
      </c>
      <c r="F219" s="31">
        <f>'июнь 2014г. по 6-10'!F219+'июнь 2014г. по 0,4'!F216</f>
        <v>2</v>
      </c>
      <c r="G219" s="31">
        <f>'июнь 2014г. по 6-10'!G219+'июнь 2014г. по 0,4'!G216</f>
        <v>19.399999999999999</v>
      </c>
      <c r="H219" s="31">
        <f>'июнь 2014г. по 6-10'!H219+'июнь 2014г. по 0,4'!H216</f>
        <v>0</v>
      </c>
      <c r="I219" s="31">
        <f>'июнь 2014г. по 6-10'!I219+'июнь 2014г. по 0,4'!I216</f>
        <v>0</v>
      </c>
      <c r="J219" s="31">
        <f>'июнь 2014г. по 6-10'!J219+'июнь 2014г. по 0,4'!J216</f>
        <v>0</v>
      </c>
      <c r="K219" s="31">
        <f>'июнь 2014г. по 6-10'!K219+'июнь 2014г. по 0,4'!K216</f>
        <v>0</v>
      </c>
      <c r="L219" s="31">
        <f>'июнь 2014г. по 6-10'!L219+'июнь 2014г. по 0,4'!L216</f>
        <v>0</v>
      </c>
      <c r="M219" s="31">
        <f>'июнь 2014г. по 6-10'!M219+'июнь 2014г. по 0,4'!M216</f>
        <v>0</v>
      </c>
      <c r="N219" s="31">
        <f>'июнь 2014г. по 6-10'!N219+'июнь 2014г. по 0,4'!N216</f>
        <v>0</v>
      </c>
      <c r="O219" s="31">
        <f>'июнь 2014г. по 6-10'!O219+'июнь 2014г. по 0,4'!O216</f>
        <v>0</v>
      </c>
      <c r="P219" s="31">
        <f>'июнь 2014г. по 6-10'!P219+'июнь 2014г. по 0,4'!P216</f>
        <v>0</v>
      </c>
      <c r="Q219" s="31">
        <f>'июнь 2014г. по 6-10'!Q219+'июнь 2014г. по 0,4'!Q216</f>
        <v>0</v>
      </c>
    </row>
    <row r="220" spans="1:17" ht="12.75" customHeight="1" x14ac:dyDescent="0.2">
      <c r="A220" s="18"/>
      <c r="B220" s="53"/>
      <c r="C220" s="50" t="s">
        <v>281</v>
      </c>
      <c r="D220" s="31">
        <f>'июнь 2014г. по 6-10'!D220+'июнь 2014г. по 0,4'!D217</f>
        <v>1</v>
      </c>
      <c r="E220" s="31">
        <f>'июнь 2014г. по 6-10'!E220+'июнь 2014г. по 0,4'!E217</f>
        <v>4.4000000000000004</v>
      </c>
      <c r="F220" s="31">
        <f>'июнь 2014г. по 6-10'!F220+'июнь 2014г. по 0,4'!F217</f>
        <v>1</v>
      </c>
      <c r="G220" s="31">
        <f>'июнь 2014г. по 6-10'!G220+'июнь 2014г. по 0,4'!G217</f>
        <v>4.4000000000000004</v>
      </c>
      <c r="H220" s="31">
        <f>'июнь 2014г. по 6-10'!H220+'июнь 2014г. по 0,4'!H217</f>
        <v>0</v>
      </c>
      <c r="I220" s="31">
        <f>'июнь 2014г. по 6-10'!I220+'июнь 2014г. по 0,4'!I217</f>
        <v>0</v>
      </c>
      <c r="J220" s="31">
        <f>'июнь 2014г. по 6-10'!J220+'июнь 2014г. по 0,4'!J217</f>
        <v>0</v>
      </c>
      <c r="K220" s="31">
        <f>'июнь 2014г. по 6-10'!K220+'июнь 2014г. по 0,4'!K217</f>
        <v>0</v>
      </c>
      <c r="L220" s="31">
        <f>'июнь 2014г. по 6-10'!L220+'июнь 2014г. по 0,4'!L217</f>
        <v>0</v>
      </c>
      <c r="M220" s="31">
        <f>'июнь 2014г. по 6-10'!M220+'июнь 2014г. по 0,4'!M217</f>
        <v>0</v>
      </c>
      <c r="N220" s="31">
        <f>'июнь 2014г. по 6-10'!N220+'июнь 2014г. по 0,4'!N217</f>
        <v>0</v>
      </c>
      <c r="O220" s="31">
        <f>'июнь 2014г. по 6-10'!O220+'июнь 2014г. по 0,4'!O217</f>
        <v>0</v>
      </c>
      <c r="P220" s="31">
        <f>'июнь 2014г. по 6-10'!P220+'июнь 2014г. по 0,4'!P217</f>
        <v>0</v>
      </c>
      <c r="Q220" s="31">
        <f>'июнь 2014г. по 6-10'!Q220+'июнь 2014г. по 0,4'!Q217</f>
        <v>0</v>
      </c>
    </row>
    <row r="221" spans="1:17" ht="12.75" customHeight="1" x14ac:dyDescent="0.2">
      <c r="A221" s="18"/>
      <c r="B221" s="53"/>
      <c r="C221" s="50" t="s">
        <v>282</v>
      </c>
      <c r="D221" s="31">
        <f>'июнь 2014г. по 6-10'!D221+'июнь 2014г. по 0,4'!D218</f>
        <v>0</v>
      </c>
      <c r="E221" s="31">
        <f>'июнь 2014г. по 6-10'!E221+'июнь 2014г. по 0,4'!E218</f>
        <v>0</v>
      </c>
      <c r="F221" s="31">
        <f>'июнь 2014г. по 6-10'!F221+'июнь 2014г. по 0,4'!F218</f>
        <v>0</v>
      </c>
      <c r="G221" s="31">
        <f>'июнь 2014г. по 6-10'!G221+'июнь 2014г. по 0,4'!G218</f>
        <v>0</v>
      </c>
      <c r="H221" s="31">
        <f>'июнь 2014г. по 6-10'!H221+'июнь 2014г. по 0,4'!H218</f>
        <v>0</v>
      </c>
      <c r="I221" s="31">
        <f>'июнь 2014г. по 6-10'!I221+'июнь 2014г. по 0,4'!I218</f>
        <v>0</v>
      </c>
      <c r="J221" s="31">
        <f>'июнь 2014г. по 6-10'!J221+'июнь 2014г. по 0,4'!J218</f>
        <v>0</v>
      </c>
      <c r="K221" s="31">
        <f>'июнь 2014г. по 6-10'!K221+'июнь 2014г. по 0,4'!K218</f>
        <v>0</v>
      </c>
      <c r="L221" s="31">
        <f>'июнь 2014г. по 6-10'!L221+'июнь 2014г. по 0,4'!L218</f>
        <v>0</v>
      </c>
      <c r="M221" s="31">
        <f>'июнь 2014г. по 6-10'!M221+'июнь 2014г. по 0,4'!M218</f>
        <v>0</v>
      </c>
      <c r="N221" s="31">
        <f>'июнь 2014г. по 6-10'!N221+'июнь 2014г. по 0,4'!N218</f>
        <v>0</v>
      </c>
      <c r="O221" s="31">
        <f>'июнь 2014г. по 6-10'!O221+'июнь 2014г. по 0,4'!O218</f>
        <v>0</v>
      </c>
      <c r="P221" s="31">
        <f>'июнь 2014г. по 6-10'!P221+'июнь 2014г. по 0,4'!P218</f>
        <v>0</v>
      </c>
      <c r="Q221" s="31">
        <f>'июнь 2014г. по 6-10'!Q221+'июнь 2014г. по 0,4'!Q218</f>
        <v>0</v>
      </c>
    </row>
    <row r="222" spans="1:17" ht="12.75" customHeight="1" x14ac:dyDescent="0.2">
      <c r="A222" s="18"/>
      <c r="B222" s="53"/>
      <c r="C222" s="50" t="s">
        <v>283</v>
      </c>
      <c r="D222" s="31">
        <f>'июнь 2014г. по 6-10'!D222+'июнь 2014г. по 0,4'!D219</f>
        <v>1</v>
      </c>
      <c r="E222" s="31">
        <f>'июнь 2014г. по 6-10'!E222+'июнь 2014г. по 0,4'!E219</f>
        <v>45</v>
      </c>
      <c r="F222" s="31">
        <f>'июнь 2014г. по 6-10'!F222+'июнь 2014г. по 0,4'!F219</f>
        <v>1</v>
      </c>
      <c r="G222" s="31">
        <f>'июнь 2014г. по 6-10'!G222+'июнь 2014г. по 0,4'!G219</f>
        <v>45</v>
      </c>
      <c r="H222" s="31">
        <f>'июнь 2014г. по 6-10'!H222+'июнь 2014г. по 0,4'!H219</f>
        <v>0</v>
      </c>
      <c r="I222" s="31">
        <f>'июнь 2014г. по 6-10'!I222+'июнь 2014г. по 0,4'!I219</f>
        <v>0</v>
      </c>
      <c r="J222" s="31">
        <f>'июнь 2014г. по 6-10'!J222+'июнь 2014г. по 0,4'!J219</f>
        <v>0</v>
      </c>
      <c r="K222" s="31">
        <f>'июнь 2014г. по 6-10'!K222+'июнь 2014г. по 0,4'!K219</f>
        <v>0</v>
      </c>
      <c r="L222" s="31">
        <f>'июнь 2014г. по 6-10'!L222+'июнь 2014г. по 0,4'!L219</f>
        <v>0</v>
      </c>
      <c r="M222" s="31">
        <f>'июнь 2014г. по 6-10'!M222+'июнь 2014г. по 0,4'!M219</f>
        <v>0</v>
      </c>
      <c r="N222" s="31">
        <f>'июнь 2014г. по 6-10'!N222+'июнь 2014г. по 0,4'!N219</f>
        <v>0</v>
      </c>
      <c r="O222" s="31">
        <f>'июнь 2014г. по 6-10'!O222+'июнь 2014г. по 0,4'!O219</f>
        <v>0</v>
      </c>
      <c r="P222" s="31">
        <f>'июнь 2014г. по 6-10'!P222+'июнь 2014г. по 0,4'!P219</f>
        <v>0</v>
      </c>
      <c r="Q222" s="31">
        <f>'июнь 2014г. по 6-10'!Q222+'июнь 2014г. по 0,4'!Q219</f>
        <v>0</v>
      </c>
    </row>
    <row r="223" spans="1:17" ht="12.75" customHeight="1" x14ac:dyDescent="0.2">
      <c r="A223" s="18"/>
      <c r="B223" s="53"/>
      <c r="C223" s="50" t="s">
        <v>284</v>
      </c>
      <c r="D223" s="31">
        <f>'июнь 2014г. по 6-10'!D223+'июнь 2014г. по 0,4'!D220</f>
        <v>8</v>
      </c>
      <c r="E223" s="31">
        <f>'июнь 2014г. по 6-10'!E223+'июнь 2014г. по 0,4'!E220</f>
        <v>107</v>
      </c>
      <c r="F223" s="31">
        <f>'июнь 2014г. по 6-10'!F223+'июнь 2014г. по 0,4'!F220</f>
        <v>8</v>
      </c>
      <c r="G223" s="31">
        <f>'июнь 2014г. по 6-10'!G223+'июнь 2014г. по 0,4'!G220</f>
        <v>107</v>
      </c>
      <c r="H223" s="31">
        <f>'июнь 2014г. по 6-10'!H223+'июнь 2014г. по 0,4'!H220</f>
        <v>0</v>
      </c>
      <c r="I223" s="31">
        <f>'июнь 2014г. по 6-10'!I223+'июнь 2014г. по 0,4'!I220</f>
        <v>0</v>
      </c>
      <c r="J223" s="31">
        <f>'июнь 2014г. по 6-10'!J223+'июнь 2014г. по 0,4'!J220</f>
        <v>0</v>
      </c>
      <c r="K223" s="31">
        <f>'июнь 2014г. по 6-10'!K223+'июнь 2014г. по 0,4'!K220</f>
        <v>0</v>
      </c>
      <c r="L223" s="31">
        <f>'июнь 2014г. по 6-10'!L223+'июнь 2014г. по 0,4'!L220</f>
        <v>0</v>
      </c>
      <c r="M223" s="31">
        <f>'июнь 2014г. по 6-10'!M223+'июнь 2014г. по 0,4'!M220</f>
        <v>0</v>
      </c>
      <c r="N223" s="31">
        <f>'июнь 2014г. по 6-10'!N223+'июнь 2014г. по 0,4'!N220</f>
        <v>0</v>
      </c>
      <c r="O223" s="31">
        <f>'июнь 2014г. по 6-10'!O223+'июнь 2014г. по 0,4'!O220</f>
        <v>0</v>
      </c>
      <c r="P223" s="31">
        <f>'июнь 2014г. по 6-10'!P223+'июнь 2014г. по 0,4'!P220</f>
        <v>0</v>
      </c>
      <c r="Q223" s="31">
        <f>'июнь 2014г. по 6-10'!Q223+'июнь 2014г. по 0,4'!Q220</f>
        <v>0</v>
      </c>
    </row>
    <row r="224" spans="1:17" ht="12.75" customHeight="1" x14ac:dyDescent="0.2">
      <c r="A224" s="18"/>
      <c r="B224" s="53"/>
      <c r="C224" s="50" t="s">
        <v>285</v>
      </c>
      <c r="D224" s="31">
        <f>'июнь 2014г. по 6-10'!D224+'июнь 2014г. по 0,4'!D221</f>
        <v>1</v>
      </c>
      <c r="E224" s="31">
        <f>'июнь 2014г. по 6-10'!E224+'июнь 2014г. по 0,4'!E221</f>
        <v>15</v>
      </c>
      <c r="F224" s="31">
        <f>'июнь 2014г. по 6-10'!F224+'июнь 2014г. по 0,4'!F221</f>
        <v>1</v>
      </c>
      <c r="G224" s="31">
        <f>'июнь 2014г. по 6-10'!G224+'июнь 2014г. по 0,4'!G221</f>
        <v>15</v>
      </c>
      <c r="H224" s="31">
        <f>'июнь 2014г. по 6-10'!H224+'июнь 2014г. по 0,4'!H221</f>
        <v>0</v>
      </c>
      <c r="I224" s="31">
        <f>'июнь 2014г. по 6-10'!I224+'июнь 2014г. по 0,4'!I221</f>
        <v>0</v>
      </c>
      <c r="J224" s="31">
        <f>'июнь 2014г. по 6-10'!J224+'июнь 2014г. по 0,4'!J221</f>
        <v>0</v>
      </c>
      <c r="K224" s="31">
        <f>'июнь 2014г. по 6-10'!K224+'июнь 2014г. по 0,4'!K221</f>
        <v>0</v>
      </c>
      <c r="L224" s="31">
        <f>'июнь 2014г. по 6-10'!L224+'июнь 2014г. по 0,4'!L221</f>
        <v>0</v>
      </c>
      <c r="M224" s="31">
        <f>'июнь 2014г. по 6-10'!M224+'июнь 2014г. по 0,4'!M221</f>
        <v>0</v>
      </c>
      <c r="N224" s="31">
        <f>'июнь 2014г. по 6-10'!N224+'июнь 2014г. по 0,4'!N221</f>
        <v>0</v>
      </c>
      <c r="O224" s="31">
        <f>'июнь 2014г. по 6-10'!O224+'июнь 2014г. по 0,4'!O221</f>
        <v>0</v>
      </c>
      <c r="P224" s="31">
        <f>'июнь 2014г. по 6-10'!P224+'июнь 2014г. по 0,4'!P221</f>
        <v>0</v>
      </c>
      <c r="Q224" s="31">
        <f>'июнь 2014г. по 6-10'!Q224+'июнь 2014г. по 0,4'!Q221</f>
        <v>0</v>
      </c>
    </row>
    <row r="225" spans="1:17" ht="12.75" customHeight="1" x14ac:dyDescent="0.2">
      <c r="A225" s="18"/>
      <c r="B225" s="53"/>
      <c r="C225" s="50" t="s">
        <v>286</v>
      </c>
      <c r="D225" s="31">
        <f>'июнь 2014г. по 6-10'!D225+'июнь 2014г. по 0,4'!D222</f>
        <v>6</v>
      </c>
      <c r="E225" s="31">
        <f>'июнь 2014г. по 6-10'!E225+'июнь 2014г. по 0,4'!E222</f>
        <v>193</v>
      </c>
      <c r="F225" s="31">
        <f>'июнь 2014г. по 6-10'!F225+'июнь 2014г. по 0,4'!F222</f>
        <v>6</v>
      </c>
      <c r="G225" s="31">
        <f>'июнь 2014г. по 6-10'!G225+'июнь 2014г. по 0,4'!G222</f>
        <v>193</v>
      </c>
      <c r="H225" s="31">
        <f>'июнь 2014г. по 6-10'!H225+'июнь 2014г. по 0,4'!H222</f>
        <v>0</v>
      </c>
      <c r="I225" s="31">
        <f>'июнь 2014г. по 6-10'!I225+'июнь 2014г. по 0,4'!I222</f>
        <v>0</v>
      </c>
      <c r="J225" s="31">
        <f>'июнь 2014г. по 6-10'!J225+'июнь 2014г. по 0,4'!J222</f>
        <v>1</v>
      </c>
      <c r="K225" s="31">
        <f>'июнь 2014г. по 6-10'!K225+'июнь 2014г. по 0,4'!K222</f>
        <v>10</v>
      </c>
      <c r="L225" s="31">
        <f>'июнь 2014г. по 6-10'!L225+'июнь 2014г. по 0,4'!L222</f>
        <v>0</v>
      </c>
      <c r="M225" s="31">
        <f>'июнь 2014г. по 6-10'!M225+'июнь 2014г. по 0,4'!M222</f>
        <v>0</v>
      </c>
      <c r="N225" s="31">
        <f>'июнь 2014г. по 6-10'!N225+'июнь 2014г. по 0,4'!N222</f>
        <v>0</v>
      </c>
      <c r="O225" s="31">
        <f>'июнь 2014г. по 6-10'!O225+'июнь 2014г. по 0,4'!O222</f>
        <v>0</v>
      </c>
      <c r="P225" s="31">
        <f>'июнь 2014г. по 6-10'!P225+'июнь 2014г. по 0,4'!P222</f>
        <v>0</v>
      </c>
      <c r="Q225" s="31">
        <f>'июнь 2014г. по 6-10'!Q225+'июнь 2014г. по 0,4'!Q222</f>
        <v>0</v>
      </c>
    </row>
    <row r="226" spans="1:17" ht="12.75" customHeight="1" x14ac:dyDescent="0.2">
      <c r="A226" s="18"/>
      <c r="B226" s="53"/>
      <c r="C226" s="50" t="s">
        <v>287</v>
      </c>
      <c r="D226" s="31">
        <f>'июнь 2014г. по 6-10'!D226+'июнь 2014г. по 0,4'!D223</f>
        <v>7</v>
      </c>
      <c r="E226" s="31">
        <f>'июнь 2014г. по 6-10'!E226+'июнь 2014г. по 0,4'!E223</f>
        <v>72</v>
      </c>
      <c r="F226" s="31">
        <f>'июнь 2014г. по 6-10'!F226+'июнь 2014г. по 0,4'!F223</f>
        <v>7</v>
      </c>
      <c r="G226" s="31">
        <f>'июнь 2014г. по 6-10'!G226+'июнь 2014г. по 0,4'!G223</f>
        <v>72</v>
      </c>
      <c r="H226" s="31">
        <f>'июнь 2014г. по 6-10'!H226+'июнь 2014г. по 0,4'!H223</f>
        <v>0</v>
      </c>
      <c r="I226" s="31">
        <f>'июнь 2014г. по 6-10'!I226+'июнь 2014г. по 0,4'!I223</f>
        <v>0</v>
      </c>
      <c r="J226" s="31">
        <f>'июнь 2014г. по 6-10'!J226+'июнь 2014г. по 0,4'!J223</f>
        <v>0</v>
      </c>
      <c r="K226" s="31">
        <f>'июнь 2014г. по 6-10'!K226+'июнь 2014г. по 0,4'!K223</f>
        <v>0</v>
      </c>
      <c r="L226" s="31">
        <f>'июнь 2014г. по 6-10'!L226+'июнь 2014г. по 0,4'!L223</f>
        <v>0</v>
      </c>
      <c r="M226" s="31">
        <f>'июнь 2014г. по 6-10'!M226+'июнь 2014г. по 0,4'!M223</f>
        <v>0</v>
      </c>
      <c r="N226" s="31">
        <f>'июнь 2014г. по 6-10'!N226+'июнь 2014г. по 0,4'!N223</f>
        <v>0</v>
      </c>
      <c r="O226" s="31">
        <f>'июнь 2014г. по 6-10'!O226+'июнь 2014г. по 0,4'!O223</f>
        <v>0</v>
      </c>
      <c r="P226" s="31">
        <f>'июнь 2014г. по 6-10'!P226+'июнь 2014г. по 0,4'!P223</f>
        <v>0</v>
      </c>
      <c r="Q226" s="31">
        <f>'июнь 2014г. по 6-10'!Q226+'июнь 2014г. по 0,4'!Q223</f>
        <v>0</v>
      </c>
    </row>
    <row r="227" spans="1:17" ht="12.75" customHeight="1" x14ac:dyDescent="0.2">
      <c r="A227" s="18"/>
      <c r="B227" s="53"/>
      <c r="C227" s="50" t="s">
        <v>288</v>
      </c>
      <c r="D227" s="31">
        <f>'июнь 2014г. по 6-10'!D227+'июнь 2014г. по 0,4'!D224</f>
        <v>2</v>
      </c>
      <c r="E227" s="31">
        <f>'июнь 2014г. по 6-10'!E227+'июнь 2014г. по 0,4'!E224</f>
        <v>17.399999999999999</v>
      </c>
      <c r="F227" s="31">
        <f>'июнь 2014г. по 6-10'!F227+'июнь 2014г. по 0,4'!F224</f>
        <v>2</v>
      </c>
      <c r="G227" s="31">
        <f>'июнь 2014г. по 6-10'!G227+'июнь 2014г. по 0,4'!G224</f>
        <v>17.399999999999999</v>
      </c>
      <c r="H227" s="31">
        <f>'июнь 2014г. по 6-10'!H227+'июнь 2014г. по 0,4'!H224</f>
        <v>0</v>
      </c>
      <c r="I227" s="31">
        <f>'июнь 2014г. по 6-10'!I227+'июнь 2014г. по 0,4'!I224</f>
        <v>0</v>
      </c>
      <c r="J227" s="31">
        <f>'июнь 2014г. по 6-10'!J227+'июнь 2014г. по 0,4'!J224</f>
        <v>0</v>
      </c>
      <c r="K227" s="31">
        <f>'июнь 2014г. по 6-10'!K227+'июнь 2014г. по 0,4'!K224</f>
        <v>0</v>
      </c>
      <c r="L227" s="31">
        <f>'июнь 2014г. по 6-10'!L227+'июнь 2014г. по 0,4'!L224</f>
        <v>0</v>
      </c>
      <c r="M227" s="31">
        <f>'июнь 2014г. по 6-10'!M227+'июнь 2014г. по 0,4'!M224</f>
        <v>0</v>
      </c>
      <c r="N227" s="31">
        <f>'июнь 2014г. по 6-10'!N227+'июнь 2014г. по 0,4'!N224</f>
        <v>0</v>
      </c>
      <c r="O227" s="31">
        <f>'июнь 2014г. по 6-10'!O227+'июнь 2014г. по 0,4'!O224</f>
        <v>0</v>
      </c>
      <c r="P227" s="31">
        <f>'июнь 2014г. по 6-10'!P227+'июнь 2014г. по 0,4'!P224</f>
        <v>0</v>
      </c>
      <c r="Q227" s="31">
        <f>'июнь 2014г. по 6-10'!Q227+'июнь 2014г. по 0,4'!Q224</f>
        <v>0</v>
      </c>
    </row>
    <row r="228" spans="1:17" ht="12.75" customHeight="1" x14ac:dyDescent="0.2">
      <c r="A228" s="18"/>
      <c r="B228" s="53"/>
      <c r="C228" s="50" t="s">
        <v>289</v>
      </c>
      <c r="D228" s="31">
        <f>'июнь 2014г. по 6-10'!D228+'июнь 2014г. по 0,4'!D225</f>
        <v>0</v>
      </c>
      <c r="E228" s="31">
        <f>'июнь 2014г. по 6-10'!E228+'июнь 2014г. по 0,4'!E225</f>
        <v>0</v>
      </c>
      <c r="F228" s="31">
        <f>'июнь 2014г. по 6-10'!F228+'июнь 2014г. по 0,4'!F225</f>
        <v>0</v>
      </c>
      <c r="G228" s="31">
        <f>'июнь 2014г. по 6-10'!G228+'июнь 2014г. по 0,4'!G225</f>
        <v>0</v>
      </c>
      <c r="H228" s="31">
        <f>'июнь 2014г. по 6-10'!H228+'июнь 2014г. по 0,4'!H225</f>
        <v>0</v>
      </c>
      <c r="I228" s="31">
        <f>'июнь 2014г. по 6-10'!I228+'июнь 2014г. по 0,4'!I225</f>
        <v>0</v>
      </c>
      <c r="J228" s="31">
        <f>'июнь 2014г. по 6-10'!J228+'июнь 2014г. по 0,4'!J225</f>
        <v>0</v>
      </c>
      <c r="K228" s="31">
        <f>'июнь 2014г. по 6-10'!K228+'июнь 2014г. по 0,4'!K225</f>
        <v>0</v>
      </c>
      <c r="L228" s="31">
        <f>'июнь 2014г. по 6-10'!L228+'июнь 2014г. по 0,4'!L225</f>
        <v>0</v>
      </c>
      <c r="M228" s="31">
        <f>'июнь 2014г. по 6-10'!M228+'июнь 2014г. по 0,4'!M225</f>
        <v>0</v>
      </c>
      <c r="N228" s="31">
        <f>'июнь 2014г. по 6-10'!N228+'июнь 2014г. по 0,4'!N225</f>
        <v>0</v>
      </c>
      <c r="O228" s="31">
        <f>'июнь 2014г. по 6-10'!O228+'июнь 2014г. по 0,4'!O225</f>
        <v>0</v>
      </c>
      <c r="P228" s="31">
        <f>'июнь 2014г. по 6-10'!P228+'июнь 2014г. по 0,4'!P225</f>
        <v>0</v>
      </c>
      <c r="Q228" s="31">
        <f>'июнь 2014г. по 6-10'!Q228+'июнь 2014г. по 0,4'!Q225</f>
        <v>0</v>
      </c>
    </row>
    <row r="229" spans="1:17" ht="12.75" customHeight="1" x14ac:dyDescent="0.2">
      <c r="A229" s="18"/>
      <c r="B229" s="53"/>
      <c r="C229" s="50" t="s">
        <v>290</v>
      </c>
      <c r="D229" s="31">
        <f>'июнь 2014г. по 6-10'!D229+'июнь 2014г. по 0,4'!D226</f>
        <v>1</v>
      </c>
      <c r="E229" s="31">
        <f>'июнь 2014г. по 6-10'!E229+'июнь 2014г. по 0,4'!E226</f>
        <v>4.4000000000000004</v>
      </c>
      <c r="F229" s="31">
        <f>'июнь 2014г. по 6-10'!F229+'июнь 2014г. по 0,4'!F226</f>
        <v>1</v>
      </c>
      <c r="G229" s="31">
        <f>'июнь 2014г. по 6-10'!G229+'июнь 2014г. по 0,4'!G226</f>
        <v>4.4000000000000004</v>
      </c>
      <c r="H229" s="31">
        <f>'июнь 2014г. по 6-10'!H229+'июнь 2014г. по 0,4'!H226</f>
        <v>0</v>
      </c>
      <c r="I229" s="31">
        <f>'июнь 2014г. по 6-10'!I229+'июнь 2014г. по 0,4'!I226</f>
        <v>0</v>
      </c>
      <c r="J229" s="31">
        <f>'июнь 2014г. по 6-10'!J229+'июнь 2014г. по 0,4'!J226</f>
        <v>0</v>
      </c>
      <c r="K229" s="31">
        <f>'июнь 2014г. по 6-10'!K229+'июнь 2014г. по 0,4'!K226</f>
        <v>0</v>
      </c>
      <c r="L229" s="31">
        <f>'июнь 2014г. по 6-10'!L229+'июнь 2014г. по 0,4'!L226</f>
        <v>0</v>
      </c>
      <c r="M229" s="31">
        <f>'июнь 2014г. по 6-10'!M229+'июнь 2014г. по 0,4'!M226</f>
        <v>0</v>
      </c>
      <c r="N229" s="31">
        <f>'июнь 2014г. по 6-10'!N229+'июнь 2014г. по 0,4'!N226</f>
        <v>0</v>
      </c>
      <c r="O229" s="31">
        <f>'июнь 2014г. по 6-10'!O229+'июнь 2014г. по 0,4'!O226</f>
        <v>0</v>
      </c>
      <c r="P229" s="31">
        <f>'июнь 2014г. по 6-10'!P229+'июнь 2014г. по 0,4'!P226</f>
        <v>0</v>
      </c>
      <c r="Q229" s="31">
        <f>'июнь 2014г. по 6-10'!Q229+'июнь 2014г. по 0,4'!Q226</f>
        <v>0</v>
      </c>
    </row>
    <row r="230" spans="1:17" ht="12.75" customHeight="1" x14ac:dyDescent="0.2">
      <c r="A230" s="18"/>
      <c r="B230" s="53"/>
      <c r="C230" s="50" t="s">
        <v>291</v>
      </c>
      <c r="D230" s="31">
        <f>'июнь 2014г. по 6-10'!D230+'июнь 2014г. по 0,4'!D227</f>
        <v>0</v>
      </c>
      <c r="E230" s="31">
        <f>'июнь 2014г. по 6-10'!E230+'июнь 2014г. по 0,4'!E227</f>
        <v>0</v>
      </c>
      <c r="F230" s="31">
        <f>'июнь 2014г. по 6-10'!F230+'июнь 2014г. по 0,4'!F227</f>
        <v>0</v>
      </c>
      <c r="G230" s="31">
        <f>'июнь 2014г. по 6-10'!G230+'июнь 2014г. по 0,4'!G227</f>
        <v>0</v>
      </c>
      <c r="H230" s="31">
        <f>'июнь 2014г. по 6-10'!H230+'июнь 2014г. по 0,4'!H227</f>
        <v>0</v>
      </c>
      <c r="I230" s="31">
        <f>'июнь 2014г. по 6-10'!I230+'июнь 2014г. по 0,4'!I227</f>
        <v>0</v>
      </c>
      <c r="J230" s="31">
        <f>'июнь 2014г. по 6-10'!J230+'июнь 2014г. по 0,4'!J227</f>
        <v>0</v>
      </c>
      <c r="K230" s="31">
        <f>'июнь 2014г. по 6-10'!K230+'июнь 2014г. по 0,4'!K227</f>
        <v>0</v>
      </c>
      <c r="L230" s="31">
        <f>'июнь 2014г. по 6-10'!L230+'июнь 2014г. по 0,4'!L227</f>
        <v>0</v>
      </c>
      <c r="M230" s="31">
        <f>'июнь 2014г. по 6-10'!M230+'июнь 2014г. по 0,4'!M227</f>
        <v>0</v>
      </c>
      <c r="N230" s="31">
        <f>'июнь 2014г. по 6-10'!N230+'июнь 2014г. по 0,4'!N227</f>
        <v>0</v>
      </c>
      <c r="O230" s="31">
        <f>'июнь 2014г. по 6-10'!O230+'июнь 2014г. по 0,4'!O227</f>
        <v>0</v>
      </c>
      <c r="P230" s="31">
        <f>'июнь 2014г. по 6-10'!P230+'июнь 2014г. по 0,4'!P227</f>
        <v>0</v>
      </c>
      <c r="Q230" s="31">
        <f>'июнь 2014г. по 6-10'!Q230+'июнь 2014г. по 0,4'!Q227</f>
        <v>0</v>
      </c>
    </row>
    <row r="231" spans="1:17" ht="12.75" customHeight="1" x14ac:dyDescent="0.2">
      <c r="A231" s="18"/>
      <c r="B231" s="53"/>
      <c r="C231" s="50" t="s">
        <v>292</v>
      </c>
      <c r="D231" s="31">
        <f>'июнь 2014г. по 6-10'!D231+'июнь 2014г. по 0,4'!D228</f>
        <v>1</v>
      </c>
      <c r="E231" s="31">
        <f>'июнь 2014г. по 6-10'!E231+'июнь 2014г. по 0,4'!E228</f>
        <v>15</v>
      </c>
      <c r="F231" s="31">
        <f>'июнь 2014г. по 6-10'!F231+'июнь 2014г. по 0,4'!F228</f>
        <v>1</v>
      </c>
      <c r="G231" s="31">
        <f>'июнь 2014г. по 6-10'!G231+'июнь 2014г. по 0,4'!G228</f>
        <v>15</v>
      </c>
      <c r="H231" s="31">
        <f>'июнь 2014г. по 6-10'!H231+'июнь 2014г. по 0,4'!H228</f>
        <v>0</v>
      </c>
      <c r="I231" s="31">
        <f>'июнь 2014г. по 6-10'!I231+'июнь 2014г. по 0,4'!I228</f>
        <v>0</v>
      </c>
      <c r="J231" s="31">
        <f>'июнь 2014г. по 6-10'!J231+'июнь 2014г. по 0,4'!J228</f>
        <v>0</v>
      </c>
      <c r="K231" s="31">
        <f>'июнь 2014г. по 6-10'!K231+'июнь 2014г. по 0,4'!K228</f>
        <v>0</v>
      </c>
      <c r="L231" s="31">
        <f>'июнь 2014г. по 6-10'!L231+'июнь 2014г. по 0,4'!L228</f>
        <v>0</v>
      </c>
      <c r="M231" s="31">
        <f>'июнь 2014г. по 6-10'!M231+'июнь 2014г. по 0,4'!M228</f>
        <v>0</v>
      </c>
      <c r="N231" s="31">
        <f>'июнь 2014г. по 6-10'!N231+'июнь 2014г. по 0,4'!N228</f>
        <v>0</v>
      </c>
      <c r="O231" s="31">
        <f>'июнь 2014г. по 6-10'!O231+'июнь 2014г. по 0,4'!O228</f>
        <v>0</v>
      </c>
      <c r="P231" s="31">
        <f>'июнь 2014г. по 6-10'!P231+'июнь 2014г. по 0,4'!P228</f>
        <v>0</v>
      </c>
      <c r="Q231" s="31">
        <f>'июнь 2014г. по 6-10'!Q231+'июнь 2014г. по 0,4'!Q228</f>
        <v>0</v>
      </c>
    </row>
    <row r="232" spans="1:17" ht="12.75" customHeight="1" x14ac:dyDescent="0.2">
      <c r="A232" s="18"/>
      <c r="B232" s="53"/>
      <c r="C232" s="50" t="s">
        <v>293</v>
      </c>
      <c r="D232" s="31">
        <f>'июнь 2014г. по 6-10'!D232+'июнь 2014г. по 0,4'!D229</f>
        <v>0</v>
      </c>
      <c r="E232" s="31">
        <f>'июнь 2014г. по 6-10'!E232+'июнь 2014г. по 0,4'!E229</f>
        <v>0</v>
      </c>
      <c r="F232" s="31">
        <f>'июнь 2014г. по 6-10'!F232+'июнь 2014г. по 0,4'!F229</f>
        <v>0</v>
      </c>
      <c r="G232" s="31">
        <f>'июнь 2014г. по 6-10'!G232+'июнь 2014г. по 0,4'!G229</f>
        <v>0</v>
      </c>
      <c r="H232" s="31">
        <f>'июнь 2014г. по 6-10'!H232+'июнь 2014г. по 0,4'!H229</f>
        <v>0</v>
      </c>
      <c r="I232" s="31">
        <f>'июнь 2014г. по 6-10'!I232+'июнь 2014г. по 0,4'!I229</f>
        <v>0</v>
      </c>
      <c r="J232" s="31">
        <f>'июнь 2014г. по 6-10'!J232+'июнь 2014г. по 0,4'!J229</f>
        <v>0</v>
      </c>
      <c r="K232" s="31">
        <f>'июнь 2014г. по 6-10'!K232+'июнь 2014г. по 0,4'!K229</f>
        <v>0</v>
      </c>
      <c r="L232" s="31">
        <f>'июнь 2014г. по 6-10'!L232+'июнь 2014г. по 0,4'!L229</f>
        <v>0</v>
      </c>
      <c r="M232" s="31">
        <f>'июнь 2014г. по 6-10'!M232+'июнь 2014г. по 0,4'!M229</f>
        <v>0</v>
      </c>
      <c r="N232" s="31">
        <f>'июнь 2014г. по 6-10'!N232+'июнь 2014г. по 0,4'!N229</f>
        <v>0</v>
      </c>
      <c r="O232" s="31">
        <f>'июнь 2014г. по 6-10'!O232+'июнь 2014г. по 0,4'!O229</f>
        <v>0</v>
      </c>
      <c r="P232" s="31">
        <f>'июнь 2014г. по 6-10'!P232+'июнь 2014г. по 0,4'!P229</f>
        <v>0</v>
      </c>
      <c r="Q232" s="31">
        <f>'июнь 2014г. по 6-10'!Q232+'июнь 2014г. по 0,4'!Q229</f>
        <v>0</v>
      </c>
    </row>
    <row r="233" spans="1:17" ht="12.75" customHeight="1" x14ac:dyDescent="0.2">
      <c r="A233" s="18"/>
      <c r="B233" s="53"/>
      <c r="C233" s="50" t="s">
        <v>294</v>
      </c>
      <c r="D233" s="31">
        <f>'июнь 2014г. по 6-10'!D233+'июнь 2014г. по 0,4'!D230</f>
        <v>3</v>
      </c>
      <c r="E233" s="31">
        <f>'июнь 2014г. по 6-10'!E233+'июнь 2014г. по 0,4'!E230</f>
        <v>38</v>
      </c>
      <c r="F233" s="31">
        <f>'июнь 2014г. по 6-10'!F233+'июнь 2014г. по 0,4'!F230</f>
        <v>3</v>
      </c>
      <c r="G233" s="31">
        <f>'июнь 2014г. по 6-10'!G233+'июнь 2014г. по 0,4'!G230</f>
        <v>38</v>
      </c>
      <c r="H233" s="31">
        <f>'июнь 2014г. по 6-10'!H233+'июнь 2014г. по 0,4'!H230</f>
        <v>0</v>
      </c>
      <c r="I233" s="31">
        <f>'июнь 2014г. по 6-10'!I233+'июнь 2014г. по 0,4'!I230</f>
        <v>0</v>
      </c>
      <c r="J233" s="31">
        <f>'июнь 2014г. по 6-10'!J233+'июнь 2014г. по 0,4'!J230</f>
        <v>0</v>
      </c>
      <c r="K233" s="31">
        <f>'июнь 2014г. по 6-10'!K233+'июнь 2014г. по 0,4'!K230</f>
        <v>0</v>
      </c>
      <c r="L233" s="31">
        <f>'июнь 2014г. по 6-10'!L233+'июнь 2014г. по 0,4'!L230</f>
        <v>0</v>
      </c>
      <c r="M233" s="31">
        <f>'июнь 2014г. по 6-10'!M233+'июнь 2014г. по 0,4'!M230</f>
        <v>0</v>
      </c>
      <c r="N233" s="31">
        <f>'июнь 2014г. по 6-10'!N233+'июнь 2014г. по 0,4'!N230</f>
        <v>0</v>
      </c>
      <c r="O233" s="31">
        <f>'июнь 2014г. по 6-10'!O233+'июнь 2014г. по 0,4'!O230</f>
        <v>0</v>
      </c>
      <c r="P233" s="31">
        <f>'июнь 2014г. по 6-10'!P233+'июнь 2014г. по 0,4'!P230</f>
        <v>0</v>
      </c>
      <c r="Q233" s="31">
        <f>'июнь 2014г. по 6-10'!Q233+'июнь 2014г. по 0,4'!Q230</f>
        <v>0</v>
      </c>
    </row>
    <row r="234" spans="1:17" ht="12.75" customHeight="1" x14ac:dyDescent="0.2">
      <c r="A234" s="18"/>
      <c r="B234" s="53"/>
      <c r="C234" s="50" t="s">
        <v>295</v>
      </c>
      <c r="D234" s="31">
        <f>'июнь 2014г. по 6-10'!D234+'июнь 2014г. по 0,4'!D231</f>
        <v>0</v>
      </c>
      <c r="E234" s="31">
        <f>'июнь 2014г. по 6-10'!E234+'июнь 2014г. по 0,4'!E231</f>
        <v>0</v>
      </c>
      <c r="F234" s="31">
        <f>'июнь 2014г. по 6-10'!F234+'июнь 2014г. по 0,4'!F231</f>
        <v>0</v>
      </c>
      <c r="G234" s="31">
        <f>'июнь 2014г. по 6-10'!G234+'июнь 2014г. по 0,4'!G231</f>
        <v>0</v>
      </c>
      <c r="H234" s="31">
        <f>'июнь 2014г. по 6-10'!H234+'июнь 2014г. по 0,4'!H231</f>
        <v>0</v>
      </c>
      <c r="I234" s="31">
        <f>'июнь 2014г. по 6-10'!I234+'июнь 2014г. по 0,4'!I231</f>
        <v>0</v>
      </c>
      <c r="J234" s="31">
        <f>'июнь 2014г. по 6-10'!J234+'июнь 2014г. по 0,4'!J231</f>
        <v>0</v>
      </c>
      <c r="K234" s="31">
        <f>'июнь 2014г. по 6-10'!K234+'июнь 2014г. по 0,4'!K231</f>
        <v>0</v>
      </c>
      <c r="L234" s="31">
        <f>'июнь 2014г. по 6-10'!L234+'июнь 2014г. по 0,4'!L231</f>
        <v>0</v>
      </c>
      <c r="M234" s="31">
        <f>'июнь 2014г. по 6-10'!M234+'июнь 2014г. по 0,4'!M231</f>
        <v>0</v>
      </c>
      <c r="N234" s="31">
        <f>'июнь 2014г. по 6-10'!N234+'июнь 2014г. по 0,4'!N231</f>
        <v>0</v>
      </c>
      <c r="O234" s="31">
        <f>'июнь 2014г. по 6-10'!O234+'июнь 2014г. по 0,4'!O231</f>
        <v>0</v>
      </c>
      <c r="P234" s="31">
        <f>'июнь 2014г. по 6-10'!P234+'июнь 2014г. по 0,4'!P231</f>
        <v>0</v>
      </c>
      <c r="Q234" s="31">
        <f>'июнь 2014г. по 6-10'!Q234+'июнь 2014г. по 0,4'!Q231</f>
        <v>0</v>
      </c>
    </row>
    <row r="235" spans="1:17" ht="12.75" customHeight="1" x14ac:dyDescent="0.2">
      <c r="A235" s="18"/>
      <c r="B235" s="53"/>
      <c r="C235" s="50" t="s">
        <v>296</v>
      </c>
      <c r="D235" s="31">
        <f>'июнь 2014г. по 6-10'!D235+'июнь 2014г. по 0,4'!D232</f>
        <v>2</v>
      </c>
      <c r="E235" s="31">
        <f>'июнь 2014г. по 6-10'!E235+'июнь 2014г. по 0,4'!E232</f>
        <v>10</v>
      </c>
      <c r="F235" s="31">
        <f>'июнь 2014г. по 6-10'!F235+'июнь 2014г. по 0,4'!F232</f>
        <v>2</v>
      </c>
      <c r="G235" s="31">
        <f>'июнь 2014г. по 6-10'!G235+'июнь 2014г. по 0,4'!G232</f>
        <v>10</v>
      </c>
      <c r="H235" s="31">
        <f>'июнь 2014г. по 6-10'!H235+'июнь 2014г. по 0,4'!H232</f>
        <v>0</v>
      </c>
      <c r="I235" s="31">
        <f>'июнь 2014г. по 6-10'!I235+'июнь 2014г. по 0,4'!I232</f>
        <v>0</v>
      </c>
      <c r="J235" s="31">
        <f>'июнь 2014г. по 6-10'!J235+'июнь 2014г. по 0,4'!J232</f>
        <v>0</v>
      </c>
      <c r="K235" s="31">
        <f>'июнь 2014г. по 6-10'!K235+'июнь 2014г. по 0,4'!K232</f>
        <v>0</v>
      </c>
      <c r="L235" s="31">
        <f>'июнь 2014г. по 6-10'!L235+'июнь 2014г. по 0,4'!L232</f>
        <v>0</v>
      </c>
      <c r="M235" s="31">
        <f>'июнь 2014г. по 6-10'!M235+'июнь 2014г. по 0,4'!M232</f>
        <v>0</v>
      </c>
      <c r="N235" s="31">
        <f>'июнь 2014г. по 6-10'!N235+'июнь 2014г. по 0,4'!N232</f>
        <v>0</v>
      </c>
      <c r="O235" s="31">
        <f>'июнь 2014г. по 6-10'!O235+'июнь 2014г. по 0,4'!O232</f>
        <v>0</v>
      </c>
      <c r="P235" s="31">
        <f>'июнь 2014г. по 6-10'!P235+'июнь 2014г. по 0,4'!P232</f>
        <v>0</v>
      </c>
      <c r="Q235" s="31">
        <f>'июнь 2014г. по 6-10'!Q235+'июнь 2014г. по 0,4'!Q232</f>
        <v>0</v>
      </c>
    </row>
    <row r="236" spans="1:17" ht="12.75" customHeight="1" x14ac:dyDescent="0.2">
      <c r="A236" s="18"/>
      <c r="B236" s="53"/>
      <c r="C236" s="50" t="s">
        <v>297</v>
      </c>
      <c r="D236" s="31">
        <f>'июнь 2014г. по 6-10'!D236+'июнь 2014г. по 0,4'!D233</f>
        <v>0</v>
      </c>
      <c r="E236" s="31">
        <f>'июнь 2014г. по 6-10'!E236+'июнь 2014г. по 0,4'!E233</f>
        <v>0</v>
      </c>
      <c r="F236" s="31">
        <f>'июнь 2014г. по 6-10'!F236+'июнь 2014г. по 0,4'!F233</f>
        <v>0</v>
      </c>
      <c r="G236" s="31">
        <f>'июнь 2014г. по 6-10'!G236+'июнь 2014г. по 0,4'!G233</f>
        <v>0</v>
      </c>
      <c r="H236" s="31">
        <f>'июнь 2014г. по 6-10'!H236+'июнь 2014г. по 0,4'!H233</f>
        <v>0</v>
      </c>
      <c r="I236" s="31">
        <f>'июнь 2014г. по 6-10'!I236+'июнь 2014г. по 0,4'!I233</f>
        <v>0</v>
      </c>
      <c r="J236" s="31">
        <f>'июнь 2014г. по 6-10'!J236+'июнь 2014г. по 0,4'!J233</f>
        <v>0</v>
      </c>
      <c r="K236" s="31">
        <f>'июнь 2014г. по 6-10'!K236+'июнь 2014г. по 0,4'!K233</f>
        <v>0</v>
      </c>
      <c r="L236" s="31">
        <f>'июнь 2014г. по 6-10'!L236+'июнь 2014г. по 0,4'!L233</f>
        <v>0</v>
      </c>
      <c r="M236" s="31">
        <f>'июнь 2014г. по 6-10'!M236+'июнь 2014г. по 0,4'!M233</f>
        <v>0</v>
      </c>
      <c r="N236" s="31">
        <f>'июнь 2014г. по 6-10'!N236+'июнь 2014г. по 0,4'!N233</f>
        <v>0</v>
      </c>
      <c r="O236" s="31">
        <f>'июнь 2014г. по 6-10'!O236+'июнь 2014г. по 0,4'!O233</f>
        <v>0</v>
      </c>
      <c r="P236" s="31">
        <f>'июнь 2014г. по 6-10'!P236+'июнь 2014г. по 0,4'!P233</f>
        <v>0</v>
      </c>
      <c r="Q236" s="31">
        <f>'июнь 2014г. по 6-10'!Q236+'июнь 2014г. по 0,4'!Q233</f>
        <v>0</v>
      </c>
    </row>
    <row r="237" spans="1:17" ht="12.75" customHeight="1" x14ac:dyDescent="0.2">
      <c r="A237" s="18"/>
      <c r="B237" s="53"/>
      <c r="C237" s="50" t="s">
        <v>298</v>
      </c>
      <c r="D237" s="31">
        <f>'июнь 2014г. по 6-10'!D237+'июнь 2014г. по 0,4'!D234</f>
        <v>0</v>
      </c>
      <c r="E237" s="31">
        <f>'июнь 2014г. по 6-10'!E237+'июнь 2014г. по 0,4'!E234</f>
        <v>0</v>
      </c>
      <c r="F237" s="31">
        <f>'июнь 2014г. по 6-10'!F237+'июнь 2014г. по 0,4'!F234</f>
        <v>0</v>
      </c>
      <c r="G237" s="31">
        <f>'июнь 2014г. по 6-10'!G237+'июнь 2014г. по 0,4'!G234</f>
        <v>0</v>
      </c>
      <c r="H237" s="31">
        <f>'июнь 2014г. по 6-10'!H237+'июнь 2014г. по 0,4'!H234</f>
        <v>0</v>
      </c>
      <c r="I237" s="31">
        <f>'июнь 2014г. по 6-10'!I237+'июнь 2014г. по 0,4'!I234</f>
        <v>0</v>
      </c>
      <c r="J237" s="31">
        <f>'июнь 2014г. по 6-10'!J237+'июнь 2014г. по 0,4'!J234</f>
        <v>0</v>
      </c>
      <c r="K237" s="31">
        <f>'июнь 2014г. по 6-10'!K237+'июнь 2014г. по 0,4'!K234</f>
        <v>0</v>
      </c>
      <c r="L237" s="31">
        <f>'июнь 2014г. по 6-10'!L237+'июнь 2014г. по 0,4'!L234</f>
        <v>0</v>
      </c>
      <c r="M237" s="31">
        <f>'июнь 2014г. по 6-10'!M237+'июнь 2014г. по 0,4'!M234</f>
        <v>0</v>
      </c>
      <c r="N237" s="31">
        <f>'июнь 2014г. по 6-10'!N237+'июнь 2014г. по 0,4'!N234</f>
        <v>0</v>
      </c>
      <c r="O237" s="31">
        <f>'июнь 2014г. по 6-10'!O237+'июнь 2014г. по 0,4'!O234</f>
        <v>0</v>
      </c>
      <c r="P237" s="31">
        <f>'июнь 2014г. по 6-10'!P237+'июнь 2014г. по 0,4'!P234</f>
        <v>0</v>
      </c>
      <c r="Q237" s="31">
        <f>'июнь 2014г. по 6-10'!Q237+'июнь 2014г. по 0,4'!Q234</f>
        <v>0</v>
      </c>
    </row>
    <row r="238" spans="1:17" ht="12.75" customHeight="1" x14ac:dyDescent="0.2">
      <c r="A238" s="18"/>
      <c r="B238" s="53"/>
      <c r="C238" s="50" t="s">
        <v>299</v>
      </c>
      <c r="D238" s="31">
        <f>'июнь 2014г. по 6-10'!D238+'июнь 2014г. по 0,4'!D235</f>
        <v>0</v>
      </c>
      <c r="E238" s="31">
        <f>'июнь 2014г. по 6-10'!E238+'июнь 2014г. по 0,4'!E235</f>
        <v>0</v>
      </c>
      <c r="F238" s="31">
        <f>'июнь 2014г. по 6-10'!F238+'июнь 2014г. по 0,4'!F235</f>
        <v>0</v>
      </c>
      <c r="G238" s="31">
        <f>'июнь 2014г. по 6-10'!G238+'июнь 2014г. по 0,4'!G235</f>
        <v>0</v>
      </c>
      <c r="H238" s="31">
        <f>'июнь 2014г. по 6-10'!H238+'июнь 2014г. по 0,4'!H235</f>
        <v>0</v>
      </c>
      <c r="I238" s="31">
        <f>'июнь 2014г. по 6-10'!I238+'июнь 2014г. по 0,4'!I235</f>
        <v>0</v>
      </c>
      <c r="J238" s="31">
        <f>'июнь 2014г. по 6-10'!J238+'июнь 2014г. по 0,4'!J235</f>
        <v>0</v>
      </c>
      <c r="K238" s="31">
        <f>'июнь 2014г. по 6-10'!K238+'июнь 2014г. по 0,4'!K235</f>
        <v>0</v>
      </c>
      <c r="L238" s="31">
        <f>'июнь 2014г. по 6-10'!L238+'июнь 2014г. по 0,4'!L235</f>
        <v>0</v>
      </c>
      <c r="M238" s="31">
        <f>'июнь 2014г. по 6-10'!M238+'июнь 2014г. по 0,4'!M235</f>
        <v>0</v>
      </c>
      <c r="N238" s="31">
        <f>'июнь 2014г. по 6-10'!N238+'июнь 2014г. по 0,4'!N235</f>
        <v>0</v>
      </c>
      <c r="O238" s="31">
        <f>'июнь 2014г. по 6-10'!O238+'июнь 2014г. по 0,4'!O235</f>
        <v>0</v>
      </c>
      <c r="P238" s="31">
        <f>'июнь 2014г. по 6-10'!P238+'июнь 2014г. по 0,4'!P235</f>
        <v>0</v>
      </c>
      <c r="Q238" s="31">
        <f>'июнь 2014г. по 6-10'!Q238+'июнь 2014г. по 0,4'!Q235</f>
        <v>0</v>
      </c>
    </row>
    <row r="239" spans="1:17" ht="12.75" customHeight="1" x14ac:dyDescent="0.2">
      <c r="A239" s="18"/>
      <c r="B239" s="53"/>
      <c r="C239" s="50" t="s">
        <v>300</v>
      </c>
      <c r="D239" s="31">
        <f>'июнь 2014г. по 6-10'!D239+'июнь 2014г. по 0,4'!D236</f>
        <v>1</v>
      </c>
      <c r="E239" s="31">
        <f>'июнь 2014г. по 6-10'!E239+'июнь 2014г. по 0,4'!E236</f>
        <v>15</v>
      </c>
      <c r="F239" s="31">
        <f>'июнь 2014г. по 6-10'!F239+'июнь 2014г. по 0,4'!F236</f>
        <v>1</v>
      </c>
      <c r="G239" s="31">
        <f>'июнь 2014г. по 6-10'!G239+'июнь 2014г. по 0,4'!G236</f>
        <v>15</v>
      </c>
      <c r="H239" s="31">
        <f>'июнь 2014г. по 6-10'!H239+'июнь 2014г. по 0,4'!H236</f>
        <v>0</v>
      </c>
      <c r="I239" s="31">
        <f>'июнь 2014г. по 6-10'!I239+'июнь 2014г. по 0,4'!I236</f>
        <v>0</v>
      </c>
      <c r="J239" s="31">
        <f>'июнь 2014г. по 6-10'!J239+'июнь 2014г. по 0,4'!J236</f>
        <v>0</v>
      </c>
      <c r="K239" s="31">
        <f>'июнь 2014г. по 6-10'!K239+'июнь 2014г. по 0,4'!K236</f>
        <v>0</v>
      </c>
      <c r="L239" s="31">
        <f>'июнь 2014г. по 6-10'!L239+'июнь 2014г. по 0,4'!L236</f>
        <v>0</v>
      </c>
      <c r="M239" s="31">
        <f>'июнь 2014г. по 6-10'!M239+'июнь 2014г. по 0,4'!M236</f>
        <v>0</v>
      </c>
      <c r="N239" s="31">
        <f>'июнь 2014г. по 6-10'!N239+'июнь 2014г. по 0,4'!N236</f>
        <v>0</v>
      </c>
      <c r="O239" s="31">
        <f>'июнь 2014г. по 6-10'!O239+'июнь 2014г. по 0,4'!O236</f>
        <v>0</v>
      </c>
      <c r="P239" s="31">
        <f>'июнь 2014г. по 6-10'!P239+'июнь 2014г. по 0,4'!P236</f>
        <v>0</v>
      </c>
      <c r="Q239" s="31">
        <f>'июнь 2014г. по 6-10'!Q239+'июнь 2014г. по 0,4'!Q236</f>
        <v>0</v>
      </c>
    </row>
    <row r="240" spans="1:17" ht="12.75" customHeight="1" x14ac:dyDescent="0.2">
      <c r="A240" s="18"/>
      <c r="B240" s="53"/>
      <c r="C240" s="50" t="s">
        <v>301</v>
      </c>
      <c r="D240" s="31">
        <f>'июнь 2014г. по 6-10'!D240+'июнь 2014г. по 0,4'!D237</f>
        <v>0</v>
      </c>
      <c r="E240" s="31">
        <f>'июнь 2014г. по 6-10'!E240+'июнь 2014г. по 0,4'!E237</f>
        <v>0</v>
      </c>
      <c r="F240" s="31">
        <f>'июнь 2014г. по 6-10'!F240+'июнь 2014г. по 0,4'!F237</f>
        <v>0</v>
      </c>
      <c r="G240" s="31">
        <f>'июнь 2014г. по 6-10'!G240+'июнь 2014г. по 0,4'!G237</f>
        <v>0</v>
      </c>
      <c r="H240" s="31">
        <f>'июнь 2014г. по 6-10'!H240+'июнь 2014г. по 0,4'!H237</f>
        <v>0</v>
      </c>
      <c r="I240" s="31">
        <f>'июнь 2014г. по 6-10'!I240+'июнь 2014г. по 0,4'!I237</f>
        <v>0</v>
      </c>
      <c r="J240" s="31">
        <f>'июнь 2014г. по 6-10'!J240+'июнь 2014г. по 0,4'!J237</f>
        <v>0</v>
      </c>
      <c r="K240" s="31">
        <f>'июнь 2014г. по 6-10'!K240+'июнь 2014г. по 0,4'!K237</f>
        <v>0</v>
      </c>
      <c r="L240" s="31">
        <f>'июнь 2014г. по 6-10'!L240+'июнь 2014г. по 0,4'!L237</f>
        <v>0</v>
      </c>
      <c r="M240" s="31">
        <f>'июнь 2014г. по 6-10'!M240+'июнь 2014г. по 0,4'!M237</f>
        <v>0</v>
      </c>
      <c r="N240" s="31">
        <f>'июнь 2014г. по 6-10'!N240+'июнь 2014г. по 0,4'!N237</f>
        <v>0</v>
      </c>
      <c r="O240" s="31">
        <f>'июнь 2014г. по 6-10'!O240+'июнь 2014г. по 0,4'!O237</f>
        <v>0</v>
      </c>
      <c r="P240" s="31">
        <f>'июнь 2014г. по 6-10'!P240+'июнь 2014г. по 0,4'!P237</f>
        <v>0</v>
      </c>
      <c r="Q240" s="31">
        <f>'июнь 2014г. по 6-10'!Q240+'июнь 2014г. по 0,4'!Q237</f>
        <v>0</v>
      </c>
    </row>
    <row r="241" spans="1:17" ht="12.75" customHeight="1" x14ac:dyDescent="0.2">
      <c r="A241" s="18"/>
      <c r="B241" s="53"/>
      <c r="C241" s="50" t="s">
        <v>302</v>
      </c>
      <c r="D241" s="31">
        <f>'июнь 2014г. по 6-10'!D241+'июнь 2014г. по 0,4'!D238</f>
        <v>10</v>
      </c>
      <c r="E241" s="31">
        <f>'июнь 2014г. по 6-10'!E241+'июнь 2014г. по 0,4'!E238</f>
        <v>160</v>
      </c>
      <c r="F241" s="31">
        <f>'июнь 2014г. по 6-10'!F241+'июнь 2014г. по 0,4'!F238</f>
        <v>10</v>
      </c>
      <c r="G241" s="31">
        <f>'июнь 2014г. по 6-10'!G241+'июнь 2014г. по 0,4'!G238</f>
        <v>160</v>
      </c>
      <c r="H241" s="31">
        <f>'июнь 2014г. по 6-10'!H241+'июнь 2014г. по 0,4'!H238</f>
        <v>0</v>
      </c>
      <c r="I241" s="31">
        <f>'июнь 2014г. по 6-10'!I241+'июнь 2014г. по 0,4'!I238</f>
        <v>0</v>
      </c>
      <c r="J241" s="31">
        <f>'июнь 2014г. по 6-10'!J241+'июнь 2014г. по 0,4'!J238</f>
        <v>4</v>
      </c>
      <c r="K241" s="31">
        <f>'июнь 2014г. по 6-10'!K241+'июнь 2014г. по 0,4'!K238</f>
        <v>45</v>
      </c>
      <c r="L241" s="31">
        <f>'июнь 2014г. по 6-10'!L241+'июнь 2014г. по 0,4'!L238</f>
        <v>0</v>
      </c>
      <c r="M241" s="31">
        <f>'июнь 2014г. по 6-10'!M241+'июнь 2014г. по 0,4'!M238</f>
        <v>0</v>
      </c>
      <c r="N241" s="31">
        <f>'июнь 2014г. по 6-10'!N241+'июнь 2014г. по 0,4'!N238</f>
        <v>0</v>
      </c>
      <c r="O241" s="31">
        <f>'июнь 2014г. по 6-10'!O241+'июнь 2014г. по 0,4'!O238</f>
        <v>0</v>
      </c>
      <c r="P241" s="31">
        <f>'июнь 2014г. по 6-10'!P241+'июнь 2014г. по 0,4'!P238</f>
        <v>0</v>
      </c>
      <c r="Q241" s="31">
        <f>'июнь 2014г. по 6-10'!Q241+'июнь 2014г. по 0,4'!Q238</f>
        <v>0</v>
      </c>
    </row>
    <row r="242" spans="1:17" ht="12.75" customHeight="1" x14ac:dyDescent="0.2">
      <c r="A242" s="18"/>
      <c r="B242" s="53"/>
      <c r="C242" s="50" t="s">
        <v>303</v>
      </c>
      <c r="D242" s="31">
        <f>'июнь 2014г. по 6-10'!D242+'июнь 2014г. по 0,4'!D239</f>
        <v>4</v>
      </c>
      <c r="E242" s="31">
        <f>'июнь 2014г. по 6-10'!E242+'июнь 2014г. по 0,4'!E239</f>
        <v>30</v>
      </c>
      <c r="F242" s="31">
        <f>'июнь 2014г. по 6-10'!F242+'июнь 2014г. по 0,4'!F239</f>
        <v>4</v>
      </c>
      <c r="G242" s="31">
        <f>'июнь 2014г. по 6-10'!G242+'июнь 2014г. по 0,4'!G239</f>
        <v>30</v>
      </c>
      <c r="H242" s="31">
        <f>'июнь 2014г. по 6-10'!H242+'июнь 2014г. по 0,4'!H239</f>
        <v>0</v>
      </c>
      <c r="I242" s="31">
        <f>'июнь 2014г. по 6-10'!I242+'июнь 2014г. по 0,4'!I239</f>
        <v>0</v>
      </c>
      <c r="J242" s="31">
        <f>'июнь 2014г. по 6-10'!J242+'июнь 2014г. по 0,4'!J239</f>
        <v>0</v>
      </c>
      <c r="K242" s="31">
        <f>'июнь 2014г. по 6-10'!K242+'июнь 2014г. по 0,4'!K239</f>
        <v>0</v>
      </c>
      <c r="L242" s="31">
        <f>'июнь 2014г. по 6-10'!L242+'июнь 2014г. по 0,4'!L239</f>
        <v>0</v>
      </c>
      <c r="M242" s="31">
        <f>'июнь 2014г. по 6-10'!M242+'июнь 2014г. по 0,4'!M239</f>
        <v>0</v>
      </c>
      <c r="N242" s="31">
        <f>'июнь 2014г. по 6-10'!N242+'июнь 2014г. по 0,4'!N239</f>
        <v>0</v>
      </c>
      <c r="O242" s="31">
        <f>'июнь 2014г. по 6-10'!O242+'июнь 2014г. по 0,4'!O239</f>
        <v>0</v>
      </c>
      <c r="P242" s="31">
        <f>'июнь 2014г. по 6-10'!P242+'июнь 2014г. по 0,4'!P239</f>
        <v>0</v>
      </c>
      <c r="Q242" s="31">
        <f>'июнь 2014г. по 6-10'!Q242+'июнь 2014г. по 0,4'!Q239</f>
        <v>0</v>
      </c>
    </row>
    <row r="243" spans="1:17" ht="12.75" customHeight="1" x14ac:dyDescent="0.2">
      <c r="A243" s="18"/>
      <c r="B243" s="53"/>
      <c r="C243" s="50" t="s">
        <v>360</v>
      </c>
      <c r="D243" s="31">
        <f>'июнь 2014г. по 6-10'!D243+'июнь 2014г. по 0,4'!D240</f>
        <v>1</v>
      </c>
      <c r="E243" s="31">
        <f>'июнь 2014г. по 6-10'!E243+'июнь 2014г. по 0,4'!E240</f>
        <v>8</v>
      </c>
      <c r="F243" s="31">
        <f>'июнь 2014г. по 6-10'!F243+'июнь 2014г. по 0,4'!F240</f>
        <v>1</v>
      </c>
      <c r="G243" s="31">
        <f>'июнь 2014г. по 6-10'!G243+'июнь 2014г. по 0,4'!G240</f>
        <v>8</v>
      </c>
      <c r="H243" s="31">
        <f>'июнь 2014г. по 6-10'!H243+'июнь 2014г. по 0,4'!H240</f>
        <v>0</v>
      </c>
      <c r="I243" s="31">
        <f>'июнь 2014г. по 6-10'!I243+'июнь 2014г. по 0,4'!I240</f>
        <v>0</v>
      </c>
      <c r="J243" s="31">
        <f>'июнь 2014г. по 6-10'!J243+'июнь 2014г. по 0,4'!J240</f>
        <v>0</v>
      </c>
      <c r="K243" s="31">
        <f>'июнь 2014г. по 6-10'!K243+'июнь 2014г. по 0,4'!K240</f>
        <v>0</v>
      </c>
      <c r="L243" s="31">
        <f>'июнь 2014г. по 6-10'!L243+'июнь 2014г. по 0,4'!L240</f>
        <v>0</v>
      </c>
      <c r="M243" s="31">
        <f>'июнь 2014г. по 6-10'!M243+'июнь 2014г. по 0,4'!M240</f>
        <v>0</v>
      </c>
      <c r="N243" s="31">
        <f>'июнь 2014г. по 6-10'!N243+'июнь 2014г. по 0,4'!N240</f>
        <v>0</v>
      </c>
      <c r="O243" s="31">
        <f>'июнь 2014г. по 6-10'!O243+'июнь 2014г. по 0,4'!O240</f>
        <v>0</v>
      </c>
      <c r="P243" s="31">
        <f>'июнь 2014г. по 6-10'!P243+'июнь 2014г. по 0,4'!P240</f>
        <v>0</v>
      </c>
      <c r="Q243" s="31">
        <f>'июнь 2014г. по 6-10'!Q243+'июнь 2014г. по 0,4'!Q240</f>
        <v>0</v>
      </c>
    </row>
    <row r="244" spans="1:17" ht="12.75" customHeight="1" x14ac:dyDescent="0.2">
      <c r="A244" s="18"/>
      <c r="B244" s="53"/>
      <c r="C244" s="50" t="s">
        <v>304</v>
      </c>
      <c r="D244" s="31">
        <f>'июнь 2014г. по 6-10'!D244+'июнь 2014г. по 0,4'!D241</f>
        <v>5</v>
      </c>
      <c r="E244" s="31">
        <f>'июнь 2014г. по 6-10'!E244+'июнь 2014г. по 0,4'!E241</f>
        <v>63</v>
      </c>
      <c r="F244" s="31">
        <f>'июнь 2014г. по 6-10'!F244+'июнь 2014г. по 0,4'!F241</f>
        <v>5</v>
      </c>
      <c r="G244" s="31">
        <f>'июнь 2014г. по 6-10'!G244+'июнь 2014г. по 0,4'!G241</f>
        <v>63</v>
      </c>
      <c r="H244" s="31">
        <f>'июнь 2014г. по 6-10'!H244+'июнь 2014г. по 0,4'!H241</f>
        <v>0</v>
      </c>
      <c r="I244" s="31">
        <f>'июнь 2014г. по 6-10'!I244+'июнь 2014г. по 0,4'!I241</f>
        <v>0</v>
      </c>
      <c r="J244" s="31">
        <f>'июнь 2014г. по 6-10'!J244+'июнь 2014г. по 0,4'!J241</f>
        <v>0</v>
      </c>
      <c r="K244" s="31">
        <f>'июнь 2014г. по 6-10'!K244+'июнь 2014г. по 0,4'!K241</f>
        <v>0</v>
      </c>
      <c r="L244" s="31">
        <f>'июнь 2014г. по 6-10'!L244+'июнь 2014г. по 0,4'!L241</f>
        <v>0</v>
      </c>
      <c r="M244" s="31">
        <f>'июнь 2014г. по 6-10'!M244+'июнь 2014г. по 0,4'!M241</f>
        <v>0</v>
      </c>
      <c r="N244" s="31">
        <f>'июнь 2014г. по 6-10'!N244+'июнь 2014г. по 0,4'!N241</f>
        <v>0</v>
      </c>
      <c r="O244" s="31">
        <f>'июнь 2014г. по 6-10'!O244+'июнь 2014г. по 0,4'!O241</f>
        <v>0</v>
      </c>
      <c r="P244" s="31">
        <f>'июнь 2014г. по 6-10'!P244+'июнь 2014г. по 0,4'!P241</f>
        <v>0</v>
      </c>
      <c r="Q244" s="31">
        <f>'июнь 2014г. по 6-10'!Q244+'июнь 2014г. по 0,4'!Q241</f>
        <v>0</v>
      </c>
    </row>
    <row r="245" spans="1:17" ht="12.75" customHeight="1" x14ac:dyDescent="0.2">
      <c r="A245" s="18"/>
      <c r="B245" s="18"/>
      <c r="C245" s="20" t="s">
        <v>30</v>
      </c>
      <c r="D245" s="85">
        <f>SUM(D205:D244)</f>
        <v>105</v>
      </c>
      <c r="E245" s="85">
        <f t="shared" ref="E245:Q245" si="6">SUM(E205:E244)</f>
        <v>2278.2000000000007</v>
      </c>
      <c r="F245" s="85">
        <f t="shared" si="6"/>
        <v>105</v>
      </c>
      <c r="G245" s="85">
        <f t="shared" si="6"/>
        <v>2278.2000000000007</v>
      </c>
      <c r="H245" s="85">
        <f t="shared" si="6"/>
        <v>0</v>
      </c>
      <c r="I245" s="85">
        <f t="shared" si="6"/>
        <v>0</v>
      </c>
      <c r="J245" s="85">
        <f t="shared" si="6"/>
        <v>5</v>
      </c>
      <c r="K245" s="85">
        <f t="shared" si="6"/>
        <v>55</v>
      </c>
      <c r="L245" s="85">
        <f t="shared" si="6"/>
        <v>0</v>
      </c>
      <c r="M245" s="85">
        <f t="shared" si="6"/>
        <v>0</v>
      </c>
      <c r="N245" s="85">
        <f t="shared" si="6"/>
        <v>0</v>
      </c>
      <c r="O245" s="85">
        <f t="shared" si="6"/>
        <v>0</v>
      </c>
      <c r="P245" s="85">
        <f t="shared" si="6"/>
        <v>0</v>
      </c>
      <c r="Q245" s="85">
        <f t="shared" si="6"/>
        <v>0</v>
      </c>
    </row>
    <row r="246" spans="1:17" ht="25.5" customHeight="1" x14ac:dyDescent="0.2">
      <c r="A246" s="14"/>
      <c r="B246" s="15"/>
      <c r="C246" s="108" t="s">
        <v>119</v>
      </c>
      <c r="D246" s="36">
        <f t="shared" ref="D246:Q246" si="7">SUM(D245+D203+D195+D185+D153+D102+D64)</f>
        <v>878</v>
      </c>
      <c r="E246" s="36">
        <f t="shared" si="7"/>
        <v>26004.3</v>
      </c>
      <c r="F246" s="36">
        <f t="shared" si="7"/>
        <v>878</v>
      </c>
      <c r="G246" s="36">
        <f t="shared" si="7"/>
        <v>26004.3</v>
      </c>
      <c r="H246" s="36">
        <f t="shared" si="7"/>
        <v>20</v>
      </c>
      <c r="I246" s="36">
        <f t="shared" si="7"/>
        <v>0</v>
      </c>
      <c r="J246" s="36">
        <f t="shared" si="7"/>
        <v>52</v>
      </c>
      <c r="K246" s="36">
        <f t="shared" si="7"/>
        <v>476.5</v>
      </c>
      <c r="L246" s="36">
        <f t="shared" si="7"/>
        <v>0</v>
      </c>
      <c r="M246" s="36">
        <f t="shared" si="7"/>
        <v>0</v>
      </c>
      <c r="N246" s="36">
        <f t="shared" si="7"/>
        <v>0</v>
      </c>
      <c r="O246" s="36">
        <f t="shared" si="7"/>
        <v>0</v>
      </c>
      <c r="P246" s="36">
        <f t="shared" si="7"/>
        <v>0</v>
      </c>
      <c r="Q246" s="36">
        <f t="shared" si="7"/>
        <v>0</v>
      </c>
    </row>
    <row r="247" spans="1:17" x14ac:dyDescent="0.2">
      <c r="A247" s="10" t="s">
        <v>10</v>
      </c>
      <c r="B247" s="133" t="s">
        <v>11</v>
      </c>
      <c r="C247" s="134"/>
      <c r="D247" s="37">
        <f t="shared" ref="D247" si="8">SUM(D246:D246)</f>
        <v>878</v>
      </c>
      <c r="E247" s="38">
        <f t="shared" ref="E247:Q247" si="9">SUM(E246:E246)</f>
        <v>26004.3</v>
      </c>
      <c r="F247" s="37">
        <f t="shared" si="9"/>
        <v>878</v>
      </c>
      <c r="G247" s="38">
        <f t="shared" si="9"/>
        <v>26004.3</v>
      </c>
      <c r="H247" s="38">
        <f t="shared" si="9"/>
        <v>20</v>
      </c>
      <c r="I247" s="38">
        <f t="shared" si="9"/>
        <v>0</v>
      </c>
      <c r="J247" s="38">
        <f t="shared" si="9"/>
        <v>52</v>
      </c>
      <c r="K247" s="38">
        <f t="shared" si="9"/>
        <v>476.5</v>
      </c>
      <c r="L247" s="38">
        <f t="shared" si="9"/>
        <v>0</v>
      </c>
      <c r="M247" s="38">
        <f t="shared" si="9"/>
        <v>0</v>
      </c>
      <c r="N247" s="38">
        <f t="shared" si="9"/>
        <v>0</v>
      </c>
      <c r="O247" s="38">
        <f t="shared" si="9"/>
        <v>0</v>
      </c>
      <c r="P247" s="38">
        <f t="shared" si="9"/>
        <v>0</v>
      </c>
      <c r="Q247" s="38">
        <f t="shared" si="9"/>
        <v>0</v>
      </c>
    </row>
    <row r="249" spans="1:17" x14ac:dyDescent="0.2">
      <c r="G249" s="79"/>
    </row>
    <row r="250" spans="1:17" x14ac:dyDescent="0.2">
      <c r="A250" t="s">
        <v>363</v>
      </c>
      <c r="H250" s="35"/>
      <c r="I250" s="35"/>
      <c r="J250" s="35"/>
      <c r="K250" s="35"/>
    </row>
    <row r="251" spans="1:17" x14ac:dyDescent="0.2">
      <c r="H251" s="35"/>
      <c r="I251" s="35"/>
      <c r="J251" s="35"/>
      <c r="K251" s="35"/>
    </row>
    <row r="252" spans="1:17" x14ac:dyDescent="0.2">
      <c r="F252" s="35"/>
      <c r="H252" s="99"/>
      <c r="I252" s="142"/>
      <c r="J252" s="142"/>
      <c r="K252" s="100"/>
    </row>
    <row r="253" spans="1:17" x14ac:dyDescent="0.2">
      <c r="H253" s="99"/>
      <c r="I253" s="142"/>
      <c r="J253" s="142"/>
      <c r="K253" s="100"/>
    </row>
    <row r="254" spans="1:17" x14ac:dyDescent="0.2">
      <c r="H254" s="99"/>
      <c r="I254" s="142"/>
      <c r="J254" s="142"/>
      <c r="K254" s="100"/>
    </row>
    <row r="255" spans="1:17" x14ac:dyDescent="0.2">
      <c r="H255" s="101"/>
      <c r="I255" s="139"/>
      <c r="J255" s="139"/>
      <c r="K255" s="102"/>
    </row>
    <row r="256" spans="1:17" ht="22.5" customHeight="1" x14ac:dyDescent="0.2">
      <c r="H256" s="101"/>
      <c r="I256" s="139"/>
      <c r="J256" s="139"/>
      <c r="K256" s="103"/>
    </row>
    <row r="257" spans="8:11" x14ac:dyDescent="0.2">
      <c r="H257" s="101"/>
      <c r="I257" s="139"/>
      <c r="J257" s="139"/>
      <c r="K257" s="103"/>
    </row>
    <row r="258" spans="8:11" x14ac:dyDescent="0.2">
      <c r="H258" s="101"/>
      <c r="I258" s="139"/>
      <c r="J258" s="139"/>
      <c r="K258" s="103"/>
    </row>
    <row r="259" spans="8:11" ht="33.75" customHeight="1" x14ac:dyDescent="0.2">
      <c r="H259" s="101"/>
      <c r="I259" s="139"/>
      <c r="J259" s="139"/>
      <c r="K259" s="103"/>
    </row>
    <row r="260" spans="8:11" x14ac:dyDescent="0.2">
      <c r="H260" s="104"/>
      <c r="I260" s="140"/>
      <c r="J260" s="140"/>
      <c r="K260" s="105"/>
    </row>
    <row r="261" spans="8:11" x14ac:dyDescent="0.2">
      <c r="H261" s="101"/>
      <c r="I261" s="107"/>
      <c r="J261" s="107"/>
      <c r="K261" s="103"/>
    </row>
    <row r="262" spans="8:11" x14ac:dyDescent="0.2">
      <c r="H262" s="101"/>
      <c r="I262" s="107"/>
      <c r="J262" s="107"/>
      <c r="K262" s="103"/>
    </row>
    <row r="263" spans="8:11" x14ac:dyDescent="0.2">
      <c r="H263" s="101"/>
      <c r="I263" s="107"/>
      <c r="J263" s="107"/>
      <c r="K263" s="103"/>
    </row>
    <row r="264" spans="8:11" x14ac:dyDescent="0.2">
      <c r="H264" s="101"/>
      <c r="I264" s="141"/>
      <c r="J264" s="141"/>
      <c r="K264" s="103"/>
    </row>
    <row r="265" spans="8:11" x14ac:dyDescent="0.2">
      <c r="H265" s="101"/>
      <c r="I265" s="141"/>
      <c r="J265" s="141"/>
      <c r="K265" s="103"/>
    </row>
    <row r="266" spans="8:11" x14ac:dyDescent="0.2">
      <c r="H266" s="35"/>
      <c r="I266" s="35"/>
      <c r="J266" s="35"/>
      <c r="K266" s="35"/>
    </row>
    <row r="267" spans="8:11" x14ac:dyDescent="0.2">
      <c r="H267" s="35"/>
      <c r="I267" s="35"/>
      <c r="J267" s="35"/>
      <c r="K267" s="35"/>
    </row>
  </sheetData>
  <autoFilter ref="C21:C247"/>
  <customSheetViews>
    <customSheetView guid="{BC21180C-85F6-44E9-8911-8FF77947F378}" showAutoFilter="1">
      <selection activeCell="M7" sqref="M7"/>
      <pageMargins left="0.75" right="0.75" top="1" bottom="1" header="0.5" footer="0.5"/>
      <pageSetup paperSize="9" scale="90" orientation="landscape" r:id="rId1"/>
      <headerFooter alignWithMargins="0"/>
      <autoFilter ref="C21:C247"/>
    </customSheetView>
    <customSheetView guid="{A743F9C7-8B89-4E8F-B91F-1FFB859064F2}" showAutoFilter="1" topLeftCell="A230">
      <selection activeCell="G247" sqref="G247"/>
      <pageMargins left="0.75" right="0.75" top="1" bottom="1" header="0.5" footer="0.5"/>
      <pageSetup paperSize="9" scale="90" orientation="landscape" r:id="rId2"/>
      <headerFooter alignWithMargins="0"/>
      <autoFilter ref="C21:C247"/>
    </customSheetView>
  </customSheetViews>
  <mergeCells count="38"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  <mergeCell ref="B247:C247"/>
    <mergeCell ref="I252:J252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I259:J259"/>
    <mergeCell ref="I260:J260"/>
    <mergeCell ref="I264:J264"/>
    <mergeCell ref="I265:J265"/>
    <mergeCell ref="I253:J253"/>
    <mergeCell ref="I254:J254"/>
    <mergeCell ref="I255:J255"/>
    <mergeCell ref="I256:J256"/>
    <mergeCell ref="I257:J257"/>
    <mergeCell ref="I258:J258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6"/>
  <sheetViews>
    <sheetView zoomScale="85" zoomScaleNormal="85" workbookViewId="0">
      <pane ySplit="19" topLeftCell="A210" activePane="bottomLeft" state="frozen"/>
      <selection pane="bottomLeft" activeCell="F232" sqref="F232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75"/>
      <c r="J1" s="75"/>
      <c r="K1" s="75"/>
      <c r="L1" s="75"/>
      <c r="M1" s="17" t="s">
        <v>16</v>
      </c>
      <c r="N1" s="17"/>
    </row>
    <row r="2" spans="2:15" ht="15.75" hidden="1" x14ac:dyDescent="0.25">
      <c r="B2" t="s">
        <v>0</v>
      </c>
      <c r="I2" s="75"/>
      <c r="J2" s="75"/>
      <c r="K2" s="75"/>
      <c r="L2" s="75"/>
      <c r="M2" s="17" t="s">
        <v>12</v>
      </c>
      <c r="N2" s="17"/>
      <c r="O2" s="17"/>
    </row>
    <row r="3" spans="2:15" ht="15.75" hidden="1" x14ac:dyDescent="0.25">
      <c r="I3" s="75"/>
      <c r="J3" s="75"/>
      <c r="K3" s="75"/>
      <c r="L3" s="75"/>
      <c r="M3" s="17" t="s">
        <v>13</v>
      </c>
      <c r="N3" s="17"/>
      <c r="O3" s="17"/>
    </row>
    <row r="4" spans="2:15" ht="15.75" hidden="1" x14ac:dyDescent="0.25">
      <c r="I4" s="32"/>
      <c r="J4" s="32"/>
      <c r="K4" s="32"/>
      <c r="L4" s="75"/>
      <c r="M4" s="17" t="s">
        <v>14</v>
      </c>
      <c r="N4" s="17"/>
      <c r="O4" s="17"/>
    </row>
    <row r="5" spans="2:15" ht="15.75" hidden="1" x14ac:dyDescent="0.25">
      <c r="I5" s="75"/>
      <c r="J5" s="75"/>
      <c r="K5" s="75"/>
      <c r="L5" s="75"/>
      <c r="M5" s="17" t="s">
        <v>15</v>
      </c>
      <c r="N5" s="17"/>
      <c r="O5" s="17"/>
    </row>
    <row r="6" spans="2:15" ht="15.75" hidden="1" x14ac:dyDescent="0.25">
      <c r="I6" s="75"/>
      <c r="J6" s="75"/>
      <c r="K6" s="75"/>
      <c r="L6" s="75"/>
      <c r="O6" s="17"/>
    </row>
    <row r="7" spans="2:15" ht="15.75" hidden="1" x14ac:dyDescent="0.25">
      <c r="I7" s="75"/>
      <c r="J7" s="75"/>
      <c r="K7" s="75"/>
      <c r="L7" s="75"/>
    </row>
    <row r="8" spans="2:15" ht="15.75" hidden="1" x14ac:dyDescent="0.25">
      <c r="I8" s="32"/>
      <c r="J8" s="32"/>
      <c r="K8" s="32"/>
    </row>
    <row r="9" spans="2:15" ht="12.75" hidden="1" customHeight="1" x14ac:dyDescent="0.2"/>
    <row r="10" spans="2:15" ht="12.75" hidden="1" customHeight="1" x14ac:dyDescent="0.25"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2:15" ht="15.75" hidden="1" x14ac:dyDescent="0.25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2:15" ht="15.75" hidden="1" x14ac:dyDescent="0.25">
      <c r="B12" s="71"/>
      <c r="C12" s="71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2:15" ht="16.5" thickBot="1" x14ac:dyDescent="0.3">
      <c r="B14" s="93" t="s">
        <v>362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2:15" x14ac:dyDescent="0.2"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73" t="s">
        <v>17</v>
      </c>
      <c r="E19" s="73"/>
      <c r="F19" s="73" t="s">
        <v>4</v>
      </c>
      <c r="G19" s="78"/>
      <c r="H19" s="74" t="s">
        <v>5</v>
      </c>
      <c r="I19" s="65"/>
      <c r="J19" s="74" t="s">
        <v>6</v>
      </c>
      <c r="K19" s="65"/>
      <c r="L19" s="87" t="s">
        <v>18</v>
      </c>
      <c r="M19" s="65"/>
      <c r="N19" s="64" t="s">
        <v>19</v>
      </c>
      <c r="O19" s="65"/>
      <c r="P19" s="64" t="s">
        <v>20</v>
      </c>
      <c r="Q19" s="65"/>
    </row>
    <row r="20" spans="1:17" ht="13.5" thickTop="1" x14ac:dyDescent="0.2">
      <c r="A20" s="4">
        <v>1</v>
      </c>
      <c r="B20" s="5">
        <v>2</v>
      </c>
      <c r="C20" s="6">
        <v>3</v>
      </c>
      <c r="D20" s="66">
        <v>4</v>
      </c>
      <c r="E20" s="77"/>
      <c r="F20" s="67">
        <v>5</v>
      </c>
      <c r="G20" s="70"/>
      <c r="H20" s="68">
        <v>6</v>
      </c>
      <c r="I20" s="70"/>
      <c r="J20" s="68">
        <v>7</v>
      </c>
      <c r="K20" s="70"/>
      <c r="L20" s="69">
        <v>8</v>
      </c>
      <c r="M20" s="70"/>
      <c r="N20" s="69">
        <v>9</v>
      </c>
      <c r="O20" s="70"/>
      <c r="P20" s="69">
        <v>10</v>
      </c>
      <c r="Q20" s="70"/>
    </row>
    <row r="21" spans="1:17" ht="12.75" customHeight="1" x14ac:dyDescent="0.2">
      <c r="A21" s="7"/>
      <c r="B21" s="7"/>
      <c r="C21" s="7"/>
      <c r="D21" s="61" t="s">
        <v>7</v>
      </c>
      <c r="E21" s="61" t="s">
        <v>8</v>
      </c>
      <c r="F21" s="61" t="s">
        <v>7</v>
      </c>
      <c r="G21" s="61" t="s">
        <v>8</v>
      </c>
      <c r="H21" s="61" t="s">
        <v>7</v>
      </c>
      <c r="I21" s="61" t="s">
        <v>8</v>
      </c>
      <c r="J21" s="61" t="s">
        <v>7</v>
      </c>
      <c r="K21" s="61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361</v>
      </c>
      <c r="C22" s="63" t="s">
        <v>146</v>
      </c>
      <c r="D22" s="97"/>
      <c r="E22" s="98"/>
      <c r="F22" s="98"/>
      <c r="G22" s="98"/>
      <c r="H22" s="98"/>
      <c r="I22" s="61"/>
      <c r="J22" s="61"/>
      <c r="K22" s="61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83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31">
        <v>1</v>
      </c>
      <c r="E24" s="31">
        <v>10</v>
      </c>
      <c r="F24" s="31">
        <v>1</v>
      </c>
      <c r="G24" s="31">
        <v>10</v>
      </c>
      <c r="H24" s="83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31"/>
      <c r="E25" s="31"/>
      <c r="F25" s="31"/>
      <c r="G25" s="31"/>
      <c r="H25" s="83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31">
        <v>3</v>
      </c>
      <c r="E26" s="31">
        <f>80+100+200</f>
        <v>380</v>
      </c>
      <c r="F26" s="31">
        <v>3</v>
      </c>
      <c r="G26" s="31">
        <f>80+100+200</f>
        <v>380</v>
      </c>
      <c r="H26" s="83">
        <v>0</v>
      </c>
      <c r="I26" s="24"/>
      <c r="J26" s="31"/>
      <c r="K26" s="31"/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31"/>
      <c r="E27" s="31"/>
      <c r="F27" s="31"/>
      <c r="G27" s="31"/>
      <c r="H27" s="83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31"/>
      <c r="E28" s="31"/>
      <c r="F28" s="31"/>
      <c r="G28" s="31"/>
      <c r="H28" s="83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98"/>
      <c r="E29" s="98"/>
      <c r="F29" s="98"/>
      <c r="G29" s="98"/>
      <c r="H29" s="83">
        <v>0</v>
      </c>
      <c r="I29" s="61"/>
      <c r="J29" s="61"/>
      <c r="K29" s="61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9</v>
      </c>
      <c r="E30" s="31">
        <f>30+4.4+15+10+30+15+10+5+150</f>
        <v>269.39999999999998</v>
      </c>
      <c r="F30" s="31">
        <v>9</v>
      </c>
      <c r="G30" s="31">
        <v>269.39999999999998</v>
      </c>
      <c r="H30" s="83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f>60+500</f>
        <v>560</v>
      </c>
      <c r="F31" s="31">
        <v>2</v>
      </c>
      <c r="G31" s="31">
        <v>560</v>
      </c>
      <c r="H31" s="83">
        <v>0</v>
      </c>
      <c r="I31" s="24"/>
      <c r="J31" s="31"/>
      <c r="K31" s="31"/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31">
        <v>5</v>
      </c>
      <c r="E32" s="31">
        <f>10+100+300+80+10</f>
        <v>500</v>
      </c>
      <c r="F32" s="31">
        <v>5</v>
      </c>
      <c r="G32" s="31">
        <v>500</v>
      </c>
      <c r="H32" s="83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31">
        <v>2</v>
      </c>
      <c r="E33" s="31">
        <f>60+48</f>
        <v>108</v>
      </c>
      <c r="F33" s="31">
        <v>2</v>
      </c>
      <c r="G33" s="31">
        <v>108</v>
      </c>
      <c r="H33" s="83">
        <v>0</v>
      </c>
      <c r="I33" s="24"/>
      <c r="J33" s="31"/>
      <c r="K33" s="31"/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31">
        <v>3</v>
      </c>
      <c r="E34" s="31">
        <f>15+10+30</f>
        <v>55</v>
      </c>
      <c r="F34" s="31">
        <v>3</v>
      </c>
      <c r="G34" s="31">
        <v>55</v>
      </c>
      <c r="H34" s="83">
        <v>0</v>
      </c>
      <c r="I34" s="24"/>
      <c r="J34" s="31">
        <v>1</v>
      </c>
      <c r="K34" s="31">
        <f>15</f>
        <v>15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31">
        <v>9</v>
      </c>
      <c r="E35" s="31">
        <f>15+100+25+20+20+25+160+45+15</f>
        <v>425</v>
      </c>
      <c r="F35" s="31">
        <v>9</v>
      </c>
      <c r="G35" s="31">
        <v>425</v>
      </c>
      <c r="H35" s="83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98">
        <v>10</v>
      </c>
      <c r="E36" s="98">
        <f>50+150+18+160+90+200+75+15+150+50</f>
        <v>958</v>
      </c>
      <c r="F36" s="98">
        <v>10</v>
      </c>
      <c r="G36" s="98">
        <v>958</v>
      </c>
      <c r="H36" s="83">
        <v>0</v>
      </c>
      <c r="I36" s="61"/>
      <c r="J36" s="61"/>
      <c r="K36" s="6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31">
        <v>2</v>
      </c>
      <c r="E37" s="31">
        <f>60+15</f>
        <v>75</v>
      </c>
      <c r="F37" s="31">
        <v>2</v>
      </c>
      <c r="G37" s="31">
        <v>75</v>
      </c>
      <c r="H37" s="83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31">
        <v>2</v>
      </c>
      <c r="E38" s="31">
        <f>155+15</f>
        <v>170</v>
      </c>
      <c r="F38" s="31">
        <v>2</v>
      </c>
      <c r="G38" s="31">
        <f>155+15</f>
        <v>170</v>
      </c>
      <c r="H38" s="83">
        <v>0</v>
      </c>
      <c r="I38" s="24"/>
      <c r="J38" s="31"/>
      <c r="K38" s="31"/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1</v>
      </c>
      <c r="E39" s="31">
        <v>14</v>
      </c>
      <c r="F39" s="31">
        <v>1</v>
      </c>
      <c r="G39" s="31">
        <v>14</v>
      </c>
      <c r="H39" s="83">
        <v>0</v>
      </c>
      <c r="I39" s="24"/>
      <c r="J39" s="31"/>
      <c r="K39" s="31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60</v>
      </c>
      <c r="F40" s="31">
        <v>1</v>
      </c>
      <c r="G40" s="31">
        <v>60</v>
      </c>
      <c r="H40" s="83">
        <v>0</v>
      </c>
      <c r="I40" s="24"/>
      <c r="J40" s="31"/>
      <c r="K40" s="31"/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5</v>
      </c>
      <c r="E41" s="31">
        <f>10+15+15+20+70</f>
        <v>130</v>
      </c>
      <c r="F41" s="31">
        <v>5</v>
      </c>
      <c r="G41" s="31">
        <v>130</v>
      </c>
      <c r="H41" s="83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4</v>
      </c>
      <c r="E42" s="31">
        <f>20+170+180+60</f>
        <v>430</v>
      </c>
      <c r="F42" s="31">
        <v>4</v>
      </c>
      <c r="G42" s="31">
        <v>430</v>
      </c>
      <c r="H42" s="83">
        <v>0</v>
      </c>
      <c r="I42" s="24"/>
      <c r="J42" s="31"/>
      <c r="K42" s="31"/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3</v>
      </c>
      <c r="E43" s="31">
        <f>180+100+100</f>
        <v>380</v>
      </c>
      <c r="F43" s="31">
        <v>3</v>
      </c>
      <c r="G43" s="31">
        <v>380</v>
      </c>
      <c r="H43" s="83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/>
      <c r="E44" s="31"/>
      <c r="F44" s="31"/>
      <c r="G44" s="31"/>
      <c r="H44" s="83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31">
        <v>1</v>
      </c>
      <c r="E45" s="31">
        <v>50</v>
      </c>
      <c r="F45" s="31">
        <v>1</v>
      </c>
      <c r="G45" s="31">
        <v>50</v>
      </c>
      <c r="H45" s="83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31"/>
      <c r="E46" s="31"/>
      <c r="F46" s="31"/>
      <c r="G46" s="31"/>
      <c r="H46" s="83">
        <v>0</v>
      </c>
      <c r="I46" s="24"/>
      <c r="J46" s="31"/>
      <c r="K46" s="3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31"/>
      <c r="E47" s="31"/>
      <c r="F47" s="31"/>
      <c r="G47" s="31"/>
      <c r="H47" s="83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31">
        <v>9</v>
      </c>
      <c r="E48" s="31">
        <f>100+170+100+60+160+63+80+30+50</f>
        <v>813</v>
      </c>
      <c r="F48" s="31">
        <v>9</v>
      </c>
      <c r="G48" s="31">
        <v>813</v>
      </c>
      <c r="H48" s="83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98"/>
      <c r="E49" s="98"/>
      <c r="F49" s="98"/>
      <c r="G49" s="98"/>
      <c r="H49" s="83">
        <v>0</v>
      </c>
      <c r="I49" s="61"/>
      <c r="J49" s="61"/>
      <c r="K49" s="6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31">
        <v>3</v>
      </c>
      <c r="E50" s="31">
        <f>162+6+15</f>
        <v>183</v>
      </c>
      <c r="F50" s="31">
        <v>3</v>
      </c>
      <c r="G50" s="31">
        <f>162+6+15</f>
        <v>183</v>
      </c>
      <c r="H50" s="83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31">
        <v>5</v>
      </c>
      <c r="E51" s="31">
        <f>200+40+155+100+80</f>
        <v>575</v>
      </c>
      <c r="F51" s="31">
        <v>5</v>
      </c>
      <c r="G51" s="31">
        <v>575</v>
      </c>
      <c r="H51" s="83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31"/>
      <c r="E52" s="31"/>
      <c r="F52" s="31"/>
      <c r="G52" s="31"/>
      <c r="H52" s="83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31"/>
      <c r="E53" s="31"/>
      <c r="F53" s="31"/>
      <c r="G53" s="31"/>
      <c r="H53" s="83">
        <v>0</v>
      </c>
      <c r="I53" s="24"/>
      <c r="J53" s="31"/>
      <c r="K53" s="31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31">
        <v>1</v>
      </c>
      <c r="E54" s="31">
        <f>350</f>
        <v>350</v>
      </c>
      <c r="F54" s="31">
        <v>1</v>
      </c>
      <c r="G54" s="31">
        <f>350</f>
        <v>350</v>
      </c>
      <c r="H54" s="83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/>
      <c r="E55" s="31"/>
      <c r="F55" s="31"/>
      <c r="G55" s="31"/>
      <c r="H55" s="83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1</v>
      </c>
      <c r="E56" s="31">
        <v>15</v>
      </c>
      <c r="F56" s="31">
        <v>1</v>
      </c>
      <c r="G56" s="31">
        <v>15</v>
      </c>
      <c r="H56" s="83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/>
      <c r="E57" s="31"/>
      <c r="F57" s="31"/>
      <c r="G57" s="31"/>
      <c r="H57" s="83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5</v>
      </c>
      <c r="E58" s="31">
        <f>160+80+240+15+15</f>
        <v>510</v>
      </c>
      <c r="F58" s="31">
        <v>5</v>
      </c>
      <c r="G58" s="31">
        <v>510</v>
      </c>
      <c r="H58" s="83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98"/>
      <c r="E59" s="98"/>
      <c r="F59" s="98"/>
      <c r="G59" s="98"/>
      <c r="H59" s="83">
        <v>0</v>
      </c>
      <c r="I59" s="61"/>
      <c r="J59" s="61"/>
      <c r="K59" s="6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83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83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/>
      <c r="E62" s="31"/>
      <c r="F62" s="31"/>
      <c r="G62" s="31"/>
      <c r="H62" s="83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346</v>
      </c>
      <c r="D63" s="31">
        <v>2</v>
      </c>
      <c r="E63" s="31">
        <f>325+170</f>
        <v>495</v>
      </c>
      <c r="F63" s="31">
        <v>2</v>
      </c>
      <c r="G63" s="31">
        <v>495</v>
      </c>
      <c r="H63" s="83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89" t="s">
        <v>30</v>
      </c>
      <c r="D64" s="31">
        <f t="shared" ref="D64:Q64" si="0">SUM(D23:D63)</f>
        <v>91</v>
      </c>
      <c r="E64" s="31">
        <f t="shared" si="0"/>
        <v>7690.4</v>
      </c>
      <c r="F64" s="31">
        <f t="shared" si="0"/>
        <v>91</v>
      </c>
      <c r="G64" s="31">
        <f t="shared" si="0"/>
        <v>7690.4</v>
      </c>
      <c r="H64" s="31">
        <f t="shared" si="0"/>
        <v>0</v>
      </c>
      <c r="I64" s="31">
        <f t="shared" si="0"/>
        <v>0</v>
      </c>
      <c r="J64" s="31">
        <f t="shared" si="0"/>
        <v>1</v>
      </c>
      <c r="K64" s="31">
        <f t="shared" si="0"/>
        <v>15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63" t="s">
        <v>148</v>
      </c>
      <c r="D65" s="97"/>
      <c r="E65" s="31"/>
      <c r="F65" s="31"/>
      <c r="G65" s="31"/>
      <c r="H65" s="83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351</v>
      </c>
      <c r="D66" s="31">
        <v>2</v>
      </c>
      <c r="E66" s="31">
        <f>414+20</f>
        <v>434</v>
      </c>
      <c r="F66" s="31">
        <v>2</v>
      </c>
      <c r="G66" s="31">
        <v>434</v>
      </c>
      <c r="H66" s="83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6</v>
      </c>
      <c r="E67" s="31">
        <f>41+15+15+155+50+15</f>
        <v>291</v>
      </c>
      <c r="F67" s="31">
        <v>6</v>
      </c>
      <c r="G67" s="31">
        <v>291</v>
      </c>
      <c r="H67" s="83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2</v>
      </c>
      <c r="E68" s="31">
        <f>65+155</f>
        <v>220</v>
      </c>
      <c r="F68" s="31">
        <v>2</v>
      </c>
      <c r="G68" s="31">
        <f>65+155</f>
        <v>220</v>
      </c>
      <c r="H68" s="83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1</v>
      </c>
      <c r="E69" s="31">
        <v>15</v>
      </c>
      <c r="F69" s="31">
        <v>1</v>
      </c>
      <c r="G69" s="31">
        <v>15</v>
      </c>
      <c r="H69" s="83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1</v>
      </c>
      <c r="E70" s="31">
        <v>15</v>
      </c>
      <c r="F70" s="31">
        <v>1</v>
      </c>
      <c r="G70" s="31">
        <v>15</v>
      </c>
      <c r="H70" s="83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352</v>
      </c>
      <c r="D71" s="31"/>
      <c r="E71" s="31"/>
      <c r="F71" s="31"/>
      <c r="G71" s="31"/>
      <c r="H71" s="83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83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83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154</v>
      </c>
      <c r="D74" s="31">
        <v>1</v>
      </c>
      <c r="E74" s="31">
        <v>15</v>
      </c>
      <c r="F74" s="31">
        <v>1</v>
      </c>
      <c r="G74" s="31">
        <v>15</v>
      </c>
      <c r="H74" s="83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83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83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2</v>
      </c>
      <c r="E77" s="31">
        <f>15+5</f>
        <v>20</v>
      </c>
      <c r="F77" s="31">
        <v>2</v>
      </c>
      <c r="G77" s="31">
        <v>20</v>
      </c>
      <c r="H77" s="83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31">
        <v>2</v>
      </c>
      <c r="E78" s="31">
        <f>30+15</f>
        <v>45</v>
      </c>
      <c r="F78" s="31">
        <v>2</v>
      </c>
      <c r="G78" s="31">
        <v>45</v>
      </c>
      <c r="H78" s="83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31"/>
      <c r="E79" s="31"/>
      <c r="F79" s="31"/>
      <c r="G79" s="31"/>
      <c r="H79" s="83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31"/>
      <c r="E80" s="31"/>
      <c r="F80" s="31"/>
      <c r="G80" s="31"/>
      <c r="H80" s="83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31">
        <v>3</v>
      </c>
      <c r="E81" s="31">
        <f>8+10+15</f>
        <v>33</v>
      </c>
      <c r="F81" s="31">
        <v>3</v>
      </c>
      <c r="G81" s="31">
        <v>33</v>
      </c>
      <c r="H81" s="83">
        <v>0</v>
      </c>
      <c r="I81" s="24"/>
      <c r="J81" s="31">
        <v>1</v>
      </c>
      <c r="K81" s="31">
        <v>8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31"/>
      <c r="E82" s="31"/>
      <c r="F82" s="31"/>
      <c r="G82" s="31"/>
      <c r="H82" s="83">
        <v>0</v>
      </c>
      <c r="I82" s="24"/>
      <c r="J82" s="31"/>
      <c r="K82" s="31"/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31"/>
      <c r="E83" s="31"/>
      <c r="F83" s="31"/>
      <c r="G83" s="31"/>
      <c r="H83" s="83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353</v>
      </c>
      <c r="D84" s="31"/>
      <c r="E84" s="31"/>
      <c r="F84" s="31"/>
      <c r="G84" s="31"/>
      <c r="H84" s="83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109">
        <v>1</v>
      </c>
      <c r="E85" s="109">
        <v>15</v>
      </c>
      <c r="F85" s="109">
        <v>1</v>
      </c>
      <c r="G85" s="109">
        <v>15</v>
      </c>
      <c r="H85" s="83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31">
        <v>1</v>
      </c>
      <c r="E86" s="31">
        <v>15</v>
      </c>
      <c r="F86" s="31">
        <v>1</v>
      </c>
      <c r="G86" s="31">
        <v>15</v>
      </c>
      <c r="H86" s="83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358</v>
      </c>
      <c r="D87" s="31">
        <v>1</v>
      </c>
      <c r="E87" s="31">
        <v>15</v>
      </c>
      <c r="F87" s="31">
        <v>1</v>
      </c>
      <c r="G87" s="31">
        <v>15</v>
      </c>
      <c r="H87" s="83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15</v>
      </c>
      <c r="F88" s="31">
        <v>1</v>
      </c>
      <c r="G88" s="31">
        <v>15</v>
      </c>
      <c r="H88" s="83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83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354</v>
      </c>
      <c r="D90" s="31">
        <v>2</v>
      </c>
      <c r="E90" s="31">
        <f>10+10</f>
        <v>20</v>
      </c>
      <c r="F90" s="31">
        <v>2</v>
      </c>
      <c r="G90" s="31">
        <v>20</v>
      </c>
      <c r="H90" s="83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355</v>
      </c>
      <c r="D91" s="31"/>
      <c r="E91" s="31"/>
      <c r="F91" s="31"/>
      <c r="G91" s="31"/>
      <c r="H91" s="83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15</v>
      </c>
      <c r="F92" s="31">
        <v>1</v>
      </c>
      <c r="G92" s="31">
        <v>15</v>
      </c>
      <c r="H92" s="83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356</v>
      </c>
      <c r="D93" s="31"/>
      <c r="E93" s="31"/>
      <c r="F93" s="31"/>
      <c r="G93" s="31"/>
      <c r="H93" s="83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83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83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359</v>
      </c>
      <c r="D96" s="31"/>
      <c r="E96" s="31"/>
      <c r="F96" s="31"/>
      <c r="G96" s="31"/>
      <c r="H96" s="83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83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357</v>
      </c>
      <c r="D98" s="31">
        <v>2</v>
      </c>
      <c r="E98" s="31">
        <f>10+15</f>
        <v>25</v>
      </c>
      <c r="F98" s="31">
        <v>2</v>
      </c>
      <c r="G98" s="31">
        <v>25</v>
      </c>
      <c r="H98" s="83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1</v>
      </c>
      <c r="E99" s="31">
        <v>15</v>
      </c>
      <c r="F99" s="31">
        <v>1</v>
      </c>
      <c r="G99" s="31">
        <v>15</v>
      </c>
      <c r="H99" s="83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83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3</v>
      </c>
      <c r="E101" s="31">
        <f>15+30+315</f>
        <v>360</v>
      </c>
      <c r="F101" s="31">
        <v>3</v>
      </c>
      <c r="G101" s="31">
        <f>15+30+315</f>
        <v>360</v>
      </c>
      <c r="H101" s="83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36</v>
      </c>
      <c r="E102" s="31">
        <f t="shared" si="1"/>
        <v>1648</v>
      </c>
      <c r="F102" s="31">
        <f t="shared" si="1"/>
        <v>36</v>
      </c>
      <c r="G102" s="31">
        <f t="shared" si="1"/>
        <v>1648</v>
      </c>
      <c r="H102" s="31">
        <f t="shared" si="1"/>
        <v>0</v>
      </c>
      <c r="I102" s="31">
        <f t="shared" si="1"/>
        <v>0</v>
      </c>
      <c r="J102" s="31">
        <f t="shared" si="1"/>
        <v>1</v>
      </c>
      <c r="K102" s="31">
        <f t="shared" si="1"/>
        <v>8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83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31">
        <v>12</v>
      </c>
      <c r="E104" s="31">
        <f>350+130+70+160+200+65+8+10+160+15+200+20</f>
        <v>1388</v>
      </c>
      <c r="F104" s="31">
        <v>12</v>
      </c>
      <c r="G104" s="31">
        <v>1388</v>
      </c>
      <c r="H104" s="83">
        <v>0</v>
      </c>
      <c r="I104" s="24"/>
      <c r="J104" s="31"/>
      <c r="K104" s="31"/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5</v>
      </c>
      <c r="E105" s="31">
        <f>100+15+25+15+80</f>
        <v>235</v>
      </c>
      <c r="F105" s="31">
        <v>5</v>
      </c>
      <c r="G105" s="31">
        <v>235</v>
      </c>
      <c r="H105" s="83">
        <v>0</v>
      </c>
      <c r="I105" s="24"/>
      <c r="J105" s="31"/>
      <c r="K105" s="31"/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1</v>
      </c>
      <c r="E106" s="31">
        <v>15</v>
      </c>
      <c r="F106" s="31">
        <v>1</v>
      </c>
      <c r="G106" s="31">
        <v>15</v>
      </c>
      <c r="H106" s="83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7</v>
      </c>
      <c r="E107" s="31">
        <f>15+630+12+45+30+60+70</f>
        <v>862</v>
      </c>
      <c r="F107" s="31">
        <v>7</v>
      </c>
      <c r="G107" s="31">
        <v>862</v>
      </c>
      <c r="H107" s="83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4</v>
      </c>
      <c r="E108" s="31">
        <f>10+10+15+55</f>
        <v>90</v>
      </c>
      <c r="F108" s="31">
        <v>4</v>
      </c>
      <c r="G108" s="31">
        <v>90</v>
      </c>
      <c r="H108" s="83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7</v>
      </c>
      <c r="E109" s="31">
        <f>30+60+20+10+20+15+15</f>
        <v>170</v>
      </c>
      <c r="F109" s="31">
        <v>7</v>
      </c>
      <c r="G109" s="31">
        <v>170</v>
      </c>
      <c r="H109" s="83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</f>
        <v>55</v>
      </c>
      <c r="F110" s="31">
        <v>3</v>
      </c>
      <c r="G110" s="31">
        <v>55</v>
      </c>
      <c r="H110" s="83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5</v>
      </c>
      <c r="E111" s="31">
        <f>40+7+50+35+10</f>
        <v>142</v>
      </c>
      <c r="F111" s="31">
        <v>5</v>
      </c>
      <c r="G111" s="31">
        <v>142</v>
      </c>
      <c r="H111" s="83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83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/>
      <c r="E113" s="31"/>
      <c r="F113" s="31"/>
      <c r="G113" s="31"/>
      <c r="H113" s="83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6</v>
      </c>
      <c r="E114" s="31">
        <f>30+160+131+15+160+170</f>
        <v>666</v>
      </c>
      <c r="F114" s="31">
        <v>6</v>
      </c>
      <c r="G114" s="31">
        <v>666</v>
      </c>
      <c r="H114" s="83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1</v>
      </c>
      <c r="E115" s="31">
        <v>4.4000000000000004</v>
      </c>
      <c r="F115" s="31">
        <v>1</v>
      </c>
      <c r="G115" s="31">
        <v>4.4000000000000004</v>
      </c>
      <c r="H115" s="83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31"/>
      <c r="E116" s="31"/>
      <c r="F116" s="31"/>
      <c r="G116" s="31"/>
      <c r="H116" s="83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31">
        <v>15</v>
      </c>
      <c r="E117" s="31">
        <f>360+15+320+20+155+360+80+60+15+54+80+50+10+10+200</f>
        <v>1789</v>
      </c>
      <c r="F117" s="31">
        <v>15</v>
      </c>
      <c r="G117" s="31">
        <v>1789</v>
      </c>
      <c r="H117" s="83">
        <v>0</v>
      </c>
      <c r="I117" s="24"/>
      <c r="J117" s="31">
        <v>1</v>
      </c>
      <c r="K117" s="31">
        <f>15</f>
        <v>15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31">
        <v>5</v>
      </c>
      <c r="E118" s="31">
        <f>15+250+670+150+45</f>
        <v>1130</v>
      </c>
      <c r="F118" s="31">
        <v>5</v>
      </c>
      <c r="G118" s="31">
        <f>15+250+670+150+45</f>
        <v>1130</v>
      </c>
      <c r="H118" s="83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31">
        <v>2</v>
      </c>
      <c r="E119" s="31">
        <f>15+200</f>
        <v>215</v>
      </c>
      <c r="F119" s="31">
        <v>2</v>
      </c>
      <c r="G119" s="31">
        <v>215</v>
      </c>
      <c r="H119" s="83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31"/>
      <c r="E120" s="31"/>
      <c r="F120" s="31"/>
      <c r="G120" s="31"/>
      <c r="H120" s="83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31"/>
      <c r="E121" s="31"/>
      <c r="F121" s="31"/>
      <c r="G121" s="31"/>
      <c r="H121" s="83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4</v>
      </c>
      <c r="E122" s="31">
        <f>4.4+25+10+10</f>
        <v>49.4</v>
      </c>
      <c r="F122" s="31">
        <v>4</v>
      </c>
      <c r="G122" s="31">
        <v>49.4</v>
      </c>
      <c r="H122" s="83">
        <v>0</v>
      </c>
      <c r="I122" s="24"/>
      <c r="J122" s="31"/>
      <c r="K122" s="31"/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31">
        <v>2</v>
      </c>
      <c r="E123" s="31">
        <f>200+14</f>
        <v>214</v>
      </c>
      <c r="F123" s="31">
        <v>2</v>
      </c>
      <c r="G123" s="31">
        <f>200+14</f>
        <v>214</v>
      </c>
      <c r="H123" s="83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31"/>
      <c r="E124" s="31"/>
      <c r="F124" s="31"/>
      <c r="G124" s="31"/>
      <c r="H124" s="83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31"/>
      <c r="E125" s="31"/>
      <c r="F125" s="31"/>
      <c r="G125" s="31"/>
      <c r="H125" s="83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83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83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83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1</v>
      </c>
      <c r="E129" s="31">
        <v>65</v>
      </c>
      <c r="F129" s="31">
        <v>1</v>
      </c>
      <c r="G129" s="31">
        <v>65</v>
      </c>
      <c r="H129" s="83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/>
      <c r="E130" s="31"/>
      <c r="F130" s="31"/>
      <c r="G130" s="31"/>
      <c r="H130" s="83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83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83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4.4000000000000004</v>
      </c>
      <c r="F133" s="31">
        <v>1</v>
      </c>
      <c r="G133" s="31">
        <v>4.4000000000000004</v>
      </c>
      <c r="H133" s="83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83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/>
      <c r="E135" s="31"/>
      <c r="F135" s="31"/>
      <c r="G135" s="31"/>
      <c r="H135" s="83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1</v>
      </c>
      <c r="E136" s="31">
        <v>10</v>
      </c>
      <c r="F136" s="31">
        <v>1</v>
      </c>
      <c r="G136" s="31">
        <v>10</v>
      </c>
      <c r="H136" s="83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83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98"/>
      <c r="E138" s="98"/>
      <c r="F138" s="98"/>
      <c r="G138" s="98"/>
      <c r="H138" s="83">
        <v>0</v>
      </c>
      <c r="I138" s="61"/>
      <c r="J138" s="61"/>
      <c r="K138" s="6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31">
        <v>2</v>
      </c>
      <c r="E139" s="31">
        <f>15+40</f>
        <v>55</v>
      </c>
      <c r="F139" s="31">
        <v>2</v>
      </c>
      <c r="G139" s="31">
        <f>15+40</f>
        <v>55</v>
      </c>
      <c r="H139" s="83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31"/>
      <c r="E140" s="31"/>
      <c r="F140" s="31"/>
      <c r="G140" s="31"/>
      <c r="H140" s="83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31"/>
      <c r="E141" s="31"/>
      <c r="F141" s="31"/>
      <c r="G141" s="31"/>
      <c r="H141" s="83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31"/>
      <c r="E142" s="31"/>
      <c r="F142" s="31"/>
      <c r="G142" s="31"/>
      <c r="H142" s="83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31"/>
      <c r="E143" s="31"/>
      <c r="F143" s="31"/>
      <c r="G143" s="31"/>
      <c r="H143" s="83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31"/>
      <c r="E144" s="31"/>
      <c r="F144" s="31"/>
      <c r="G144" s="31"/>
      <c r="H144" s="83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31"/>
      <c r="E145" s="31"/>
      <c r="F145" s="31"/>
      <c r="G145" s="31"/>
      <c r="H145" s="83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31"/>
      <c r="E146" s="31"/>
      <c r="F146" s="31"/>
      <c r="G146" s="31"/>
      <c r="H146" s="83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31">
        <v>2</v>
      </c>
      <c r="E147" s="31">
        <f>10+10</f>
        <v>20</v>
      </c>
      <c r="F147" s="31">
        <v>2</v>
      </c>
      <c r="G147" s="31">
        <f>10+10</f>
        <v>20</v>
      </c>
      <c r="H147" s="83">
        <v>0</v>
      </c>
      <c r="I147" s="24"/>
      <c r="J147" s="31"/>
      <c r="K147" s="3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31"/>
      <c r="E148" s="31"/>
      <c r="F148" s="31"/>
      <c r="G148" s="31"/>
      <c r="H148" s="83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31"/>
      <c r="E149" s="31"/>
      <c r="F149" s="31"/>
      <c r="G149" s="31"/>
      <c r="H149" s="83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98"/>
      <c r="E150" s="98"/>
      <c r="F150" s="98"/>
      <c r="G150" s="98"/>
      <c r="H150" s="83">
        <v>0</v>
      </c>
      <c r="I150" s="61"/>
      <c r="J150" s="61"/>
      <c r="K150" s="61"/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31"/>
      <c r="E151" s="31"/>
      <c r="F151" s="31"/>
      <c r="G151" s="31"/>
      <c r="H151" s="83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83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92</v>
      </c>
      <c r="E153" s="31">
        <f t="shared" ref="E153:Q153" si="2">SUM(E104:E152)</f>
        <v>7481.1999999999989</v>
      </c>
      <c r="F153" s="31">
        <f t="shared" si="2"/>
        <v>92</v>
      </c>
      <c r="G153" s="31">
        <f t="shared" si="2"/>
        <v>7481.1999999999989</v>
      </c>
      <c r="H153" s="31">
        <f t="shared" si="2"/>
        <v>0</v>
      </c>
      <c r="I153" s="31">
        <f t="shared" si="2"/>
        <v>0</v>
      </c>
      <c r="J153" s="31">
        <f t="shared" si="2"/>
        <v>1</v>
      </c>
      <c r="K153" s="31">
        <f t="shared" si="2"/>
        <v>15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63" t="s">
        <v>250</v>
      </c>
      <c r="D154" s="31"/>
      <c r="E154" s="31"/>
      <c r="F154" s="31"/>
      <c r="G154" s="31"/>
      <c r="H154" s="83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2</v>
      </c>
      <c r="E155" s="31">
        <f>67.8+15</f>
        <v>82.8</v>
      </c>
      <c r="F155" s="31">
        <v>2</v>
      </c>
      <c r="G155" s="31">
        <v>82.8</v>
      </c>
      <c r="H155" s="83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1</v>
      </c>
      <c r="E156" s="31">
        <v>20</v>
      </c>
      <c r="F156" s="31">
        <v>1</v>
      </c>
      <c r="G156" s="31">
        <v>20</v>
      </c>
      <c r="H156" s="83">
        <v>20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347</v>
      </c>
      <c r="D157" s="31"/>
      <c r="E157" s="31"/>
      <c r="F157" s="31"/>
      <c r="G157" s="31"/>
      <c r="H157" s="83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83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83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20</v>
      </c>
      <c r="F160" s="31">
        <v>1</v>
      </c>
      <c r="G160" s="31">
        <v>20</v>
      </c>
      <c r="H160" s="83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98"/>
      <c r="E161" s="98"/>
      <c r="F161" s="98"/>
      <c r="G161" s="98"/>
      <c r="H161" s="83">
        <v>0</v>
      </c>
      <c r="I161" s="61"/>
      <c r="J161" s="61"/>
      <c r="K161" s="6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/>
      <c r="E162" s="31"/>
      <c r="F162" s="31"/>
      <c r="G162" s="31"/>
      <c r="H162" s="83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/>
      <c r="E163" s="31"/>
      <c r="F163" s="31"/>
      <c r="G163" s="31"/>
      <c r="H163" s="83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31">
        <v>1</v>
      </c>
      <c r="E164" s="31">
        <v>10</v>
      </c>
      <c r="F164" s="31">
        <v>1</v>
      </c>
      <c r="G164" s="31">
        <v>10</v>
      </c>
      <c r="H164" s="83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31"/>
      <c r="E165" s="31"/>
      <c r="F165" s="31"/>
      <c r="G165" s="31"/>
      <c r="H165" s="83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31"/>
      <c r="E166" s="31"/>
      <c r="F166" s="31"/>
      <c r="G166" s="31"/>
      <c r="H166" s="83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31">
        <v>1</v>
      </c>
      <c r="E167" s="31">
        <f>120</f>
        <v>120</v>
      </c>
      <c r="F167" s="31">
        <v>1</v>
      </c>
      <c r="G167" s="31">
        <f>120</f>
        <v>120</v>
      </c>
      <c r="H167" s="83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348</v>
      </c>
      <c r="D168" s="31"/>
      <c r="E168" s="31"/>
      <c r="F168" s="31"/>
      <c r="G168" s="31"/>
      <c r="H168" s="83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31">
        <v>2</v>
      </c>
      <c r="E169" s="31">
        <f>15+6</f>
        <v>21</v>
      </c>
      <c r="F169" s="31">
        <v>2</v>
      </c>
      <c r="G169" s="31">
        <v>21</v>
      </c>
      <c r="H169" s="83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31">
        <v>2</v>
      </c>
      <c r="E170" s="31">
        <f>20+60</f>
        <v>80</v>
      </c>
      <c r="F170" s="31">
        <v>2</v>
      </c>
      <c r="G170" s="31">
        <v>80</v>
      </c>
      <c r="H170" s="83">
        <v>0</v>
      </c>
      <c r="I170" s="24"/>
      <c r="J170" s="31"/>
      <c r="K170" s="3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31"/>
      <c r="E171" s="31"/>
      <c r="F171" s="31"/>
      <c r="G171" s="31"/>
      <c r="H171" s="83">
        <v>0</v>
      </c>
      <c r="I171" s="24"/>
      <c r="J171" s="31"/>
      <c r="K171" s="31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31"/>
      <c r="E172" s="31"/>
      <c r="F172" s="31"/>
      <c r="G172" s="31"/>
      <c r="H172" s="83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98">
        <v>2</v>
      </c>
      <c r="E173" s="98">
        <f>15+20</f>
        <v>35</v>
      </c>
      <c r="F173" s="98">
        <v>2</v>
      </c>
      <c r="G173" s="98">
        <v>35</v>
      </c>
      <c r="H173" s="83">
        <v>0</v>
      </c>
      <c r="I173" s="61"/>
      <c r="J173" s="61"/>
      <c r="K173" s="6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31"/>
      <c r="E174" s="31"/>
      <c r="F174" s="31"/>
      <c r="G174" s="31"/>
      <c r="H174" s="83">
        <v>0</v>
      </c>
      <c r="I174" s="61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31"/>
      <c r="E175" s="31"/>
      <c r="F175" s="31"/>
      <c r="G175" s="31"/>
      <c r="H175" s="83">
        <v>0</v>
      </c>
      <c r="I175" s="61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349</v>
      </c>
      <c r="D176" s="31"/>
      <c r="E176" s="31"/>
      <c r="F176" s="31"/>
      <c r="G176" s="31"/>
      <c r="H176" s="83">
        <v>0</v>
      </c>
      <c r="I176" s="61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31"/>
      <c r="E177" s="31"/>
      <c r="F177" s="31"/>
      <c r="G177" s="31"/>
      <c r="H177" s="83">
        <v>0</v>
      </c>
      <c r="I177" s="61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350</v>
      </c>
      <c r="D178" s="31">
        <v>4</v>
      </c>
      <c r="E178" s="31">
        <f>30+15+100+100</f>
        <v>245</v>
      </c>
      <c r="F178" s="31">
        <v>4</v>
      </c>
      <c r="G178" s="31">
        <f>30+15+100+100</f>
        <v>245</v>
      </c>
      <c r="H178" s="83">
        <v>0</v>
      </c>
      <c r="I178" s="61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31"/>
      <c r="E179" s="31"/>
      <c r="F179" s="31"/>
      <c r="G179" s="31"/>
      <c r="H179" s="83">
        <v>0</v>
      </c>
      <c r="I179" s="61"/>
      <c r="J179" s="31"/>
      <c r="K179" s="31"/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/>
      <c r="E180" s="31"/>
      <c r="F180" s="31"/>
      <c r="G180" s="31"/>
      <c r="H180" s="83">
        <v>0</v>
      </c>
      <c r="I180" s="61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10</v>
      </c>
      <c r="F181" s="31">
        <v>1</v>
      </c>
      <c r="G181" s="31">
        <v>10</v>
      </c>
      <c r="H181" s="83">
        <v>0</v>
      </c>
      <c r="I181" s="61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10</v>
      </c>
      <c r="F182" s="31">
        <v>1</v>
      </c>
      <c r="G182" s="31">
        <v>10</v>
      </c>
      <c r="H182" s="83">
        <v>0</v>
      </c>
      <c r="I182" s="61"/>
      <c r="J182" s="31"/>
      <c r="K182" s="31"/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1</v>
      </c>
      <c r="E183" s="31">
        <v>10</v>
      </c>
      <c r="F183" s="31">
        <v>1</v>
      </c>
      <c r="G183" s="31">
        <v>10</v>
      </c>
      <c r="H183" s="83">
        <v>0</v>
      </c>
      <c r="I183" s="61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2</v>
      </c>
      <c r="E184" s="31">
        <f>15+15</f>
        <v>30</v>
      </c>
      <c r="F184" s="31">
        <v>2</v>
      </c>
      <c r="G184" s="31">
        <v>30</v>
      </c>
      <c r="H184" s="83">
        <v>0</v>
      </c>
      <c r="I184" s="61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21</v>
      </c>
      <c r="E185" s="31">
        <f t="shared" ref="E185:Q185" si="3">SUM(E155:E184)</f>
        <v>693.8</v>
      </c>
      <c r="F185" s="31">
        <f t="shared" si="3"/>
        <v>21</v>
      </c>
      <c r="G185" s="31">
        <f t="shared" si="3"/>
        <v>693.8</v>
      </c>
      <c r="H185" s="31">
        <f t="shared" si="3"/>
        <v>20</v>
      </c>
      <c r="I185" s="31">
        <f t="shared" si="3"/>
        <v>0</v>
      </c>
      <c r="J185" s="31">
        <f t="shared" si="3"/>
        <v>0</v>
      </c>
      <c r="K185" s="31">
        <f t="shared" si="3"/>
        <v>0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83">
        <v>0</v>
      </c>
      <c r="I186" s="61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1</v>
      </c>
      <c r="E187" s="31">
        <v>15</v>
      </c>
      <c r="F187" s="31">
        <v>1</v>
      </c>
      <c r="G187" s="31">
        <v>15</v>
      </c>
      <c r="H187" s="83">
        <v>0</v>
      </c>
      <c r="I187" s="61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/>
      <c r="E188" s="31"/>
      <c r="F188" s="31"/>
      <c r="G188" s="31"/>
      <c r="H188" s="83">
        <v>0</v>
      </c>
      <c r="I188" s="61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83">
        <v>0</v>
      </c>
      <c r="I189" s="61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83">
        <v>0</v>
      </c>
      <c r="I190" s="61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83">
        <v>0</v>
      </c>
      <c r="I191" s="61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83">
        <v>0</v>
      </c>
      <c r="I192" s="61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83">
        <v>0</v>
      </c>
      <c r="I193" s="61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83">
        <v>0</v>
      </c>
      <c r="I194" s="61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2</v>
      </c>
      <c r="E195" s="31">
        <f t="shared" ref="E195:Q195" si="4">SUM(E187:E194)</f>
        <v>30</v>
      </c>
      <c r="F195" s="31">
        <f t="shared" si="4"/>
        <v>2</v>
      </c>
      <c r="G195" s="31">
        <f t="shared" si="4"/>
        <v>30</v>
      </c>
      <c r="H195" s="31">
        <f t="shared" si="4"/>
        <v>0</v>
      </c>
      <c r="I195" s="31">
        <f t="shared" si="4"/>
        <v>0</v>
      </c>
      <c r="J195" s="31">
        <f t="shared" si="4"/>
        <v>0</v>
      </c>
      <c r="K195" s="31">
        <f t="shared" si="4"/>
        <v>0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83">
        <v>0</v>
      </c>
      <c r="I196" s="61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7</v>
      </c>
      <c r="E197" s="31">
        <f>40+15+15+200+60+15+420</f>
        <v>765</v>
      </c>
      <c r="F197" s="31">
        <v>7</v>
      </c>
      <c r="G197" s="31">
        <v>765</v>
      </c>
      <c r="H197" s="83">
        <v>0</v>
      </c>
      <c r="I197" s="61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/>
      <c r="E198" s="31"/>
      <c r="F198" s="31"/>
      <c r="G198" s="31"/>
      <c r="H198" s="83">
        <v>0</v>
      </c>
      <c r="I198" s="61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31"/>
      <c r="E199" s="31"/>
      <c r="F199" s="31"/>
      <c r="G199" s="31"/>
      <c r="H199" s="83">
        <v>0</v>
      </c>
      <c r="I199" s="61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83">
        <v>0</v>
      </c>
      <c r="I200" s="61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154</v>
      </c>
      <c r="D201" s="31">
        <v>1</v>
      </c>
      <c r="E201" s="31">
        <f>15</f>
        <v>15</v>
      </c>
      <c r="F201" s="31">
        <v>1</v>
      </c>
      <c r="G201" s="31">
        <v>15</v>
      </c>
      <c r="H201" s="83">
        <v>0</v>
      </c>
      <c r="I201" s="61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264</v>
      </c>
      <c r="D202" s="31">
        <v>2</v>
      </c>
      <c r="E202" s="31">
        <f>10+15</f>
        <v>25</v>
      </c>
      <c r="F202" s="31">
        <v>2</v>
      </c>
      <c r="G202" s="31">
        <v>25</v>
      </c>
      <c r="H202" s="83">
        <v>0</v>
      </c>
      <c r="I202" s="61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">
      <c r="A203" s="18"/>
      <c r="B203" s="18"/>
      <c r="C203" s="59" t="s">
        <v>30</v>
      </c>
      <c r="D203" s="31">
        <f>SUM(D197:D202)</f>
        <v>10</v>
      </c>
      <c r="E203" s="31">
        <f t="shared" ref="E203:Q203" si="5">SUM(E197:E202)</f>
        <v>805</v>
      </c>
      <c r="F203" s="31">
        <f t="shared" si="5"/>
        <v>10</v>
      </c>
      <c r="G203" s="31">
        <f t="shared" si="5"/>
        <v>805</v>
      </c>
      <c r="H203" s="31">
        <f t="shared" si="5"/>
        <v>0</v>
      </c>
      <c r="I203" s="31">
        <f t="shared" si="5"/>
        <v>0</v>
      </c>
      <c r="J203" s="31">
        <f t="shared" si="5"/>
        <v>0</v>
      </c>
      <c r="K203" s="31">
        <f t="shared" si="5"/>
        <v>0</v>
      </c>
      <c r="L203" s="31">
        <f t="shared" si="5"/>
        <v>0</v>
      </c>
      <c r="M203" s="31">
        <f t="shared" si="5"/>
        <v>0</v>
      </c>
      <c r="N203" s="31">
        <f t="shared" si="5"/>
        <v>0</v>
      </c>
      <c r="O203" s="31">
        <f t="shared" si="5"/>
        <v>0</v>
      </c>
      <c r="P203" s="31">
        <f t="shared" si="5"/>
        <v>0</v>
      </c>
      <c r="Q203" s="31">
        <f t="shared" si="5"/>
        <v>0</v>
      </c>
    </row>
    <row r="204" spans="1:17" ht="15" x14ac:dyDescent="0.25">
      <c r="A204" s="18"/>
      <c r="B204" s="18"/>
      <c r="C204" s="51" t="s">
        <v>305</v>
      </c>
      <c r="D204" s="31"/>
      <c r="E204" s="31"/>
      <c r="F204" s="31"/>
      <c r="G204" s="31"/>
      <c r="H204" s="83">
        <v>0</v>
      </c>
      <c r="I204" s="61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266</v>
      </c>
      <c r="D205" s="31">
        <v>1</v>
      </c>
      <c r="E205" s="31">
        <v>96</v>
      </c>
      <c r="F205" s="31">
        <v>1</v>
      </c>
      <c r="G205" s="31">
        <v>96</v>
      </c>
      <c r="H205" s="83">
        <v>0</v>
      </c>
      <c r="I205" s="61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267</v>
      </c>
      <c r="D206" s="31"/>
      <c r="E206" s="31"/>
      <c r="F206" s="31"/>
      <c r="G206" s="31"/>
      <c r="H206" s="83">
        <v>0</v>
      </c>
      <c r="I206" s="61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7" t="s">
        <v>268</v>
      </c>
      <c r="D207" s="31"/>
      <c r="E207" s="31"/>
      <c r="F207" s="31"/>
      <c r="G207" s="31"/>
      <c r="H207" s="83">
        <v>0</v>
      </c>
      <c r="I207" s="61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269</v>
      </c>
      <c r="D208" s="31"/>
      <c r="E208" s="31"/>
      <c r="F208" s="31"/>
      <c r="G208" s="31"/>
      <c r="H208" s="83">
        <v>0</v>
      </c>
      <c r="I208" s="61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270</v>
      </c>
      <c r="D209" s="31">
        <v>7</v>
      </c>
      <c r="E209" s="31">
        <f>10+200+75+10+15+80+15</f>
        <v>405</v>
      </c>
      <c r="F209" s="31">
        <v>7</v>
      </c>
      <c r="G209" s="31">
        <v>405</v>
      </c>
      <c r="H209" s="83">
        <v>0</v>
      </c>
      <c r="I209" s="61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271</v>
      </c>
      <c r="D210" s="31">
        <v>2</v>
      </c>
      <c r="E210" s="31">
        <f>10+10</f>
        <v>20</v>
      </c>
      <c r="F210" s="31">
        <v>2</v>
      </c>
      <c r="G210" s="31">
        <f>10+10</f>
        <v>20</v>
      </c>
      <c r="H210" s="83">
        <v>0</v>
      </c>
      <c r="I210" s="61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272</v>
      </c>
      <c r="D211" s="31"/>
      <c r="E211" s="31"/>
      <c r="F211" s="31"/>
      <c r="G211" s="31"/>
      <c r="H211" s="83">
        <v>0</v>
      </c>
      <c r="I211" s="61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273</v>
      </c>
      <c r="D212" s="31"/>
      <c r="E212" s="31"/>
      <c r="F212" s="31"/>
      <c r="G212" s="31"/>
      <c r="H212" s="83">
        <v>0</v>
      </c>
      <c r="I212" s="61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274</v>
      </c>
      <c r="D213" s="31">
        <v>1</v>
      </c>
      <c r="E213" s="31">
        <v>10</v>
      </c>
      <c r="F213" s="31">
        <v>1</v>
      </c>
      <c r="G213" s="31">
        <v>10</v>
      </c>
      <c r="H213" s="83">
        <v>0</v>
      </c>
      <c r="I213" s="61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275</v>
      </c>
      <c r="D214" s="31">
        <v>3</v>
      </c>
      <c r="E214" s="31">
        <f>40+15+250</f>
        <v>305</v>
      </c>
      <c r="F214" s="31">
        <v>3</v>
      </c>
      <c r="G214" s="31">
        <v>305</v>
      </c>
      <c r="H214" s="83">
        <v>0</v>
      </c>
      <c r="I214" s="61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276</v>
      </c>
      <c r="D215" s="31">
        <v>4</v>
      </c>
      <c r="E215" s="31">
        <f>10+10+4.4+4.4</f>
        <v>28.799999999999997</v>
      </c>
      <c r="F215" s="31">
        <v>4</v>
      </c>
      <c r="G215" s="31">
        <f>10+10+4.4+4.4</f>
        <v>28.799999999999997</v>
      </c>
      <c r="H215" s="83">
        <v>0</v>
      </c>
      <c r="I215" s="61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277</v>
      </c>
      <c r="D216" s="31">
        <v>2</v>
      </c>
      <c r="E216" s="31">
        <f>320+5</f>
        <v>325</v>
      </c>
      <c r="F216" s="31">
        <v>2</v>
      </c>
      <c r="G216" s="31">
        <v>325</v>
      </c>
      <c r="H216" s="83">
        <v>0</v>
      </c>
      <c r="I216" s="61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278</v>
      </c>
      <c r="D217" s="31">
        <v>2</v>
      </c>
      <c r="E217" s="31">
        <f>8+4.4</f>
        <v>12.4</v>
      </c>
      <c r="F217" s="31">
        <v>2</v>
      </c>
      <c r="G217" s="31">
        <f>8+4.4</f>
        <v>12.4</v>
      </c>
      <c r="H217" s="83">
        <v>0</v>
      </c>
      <c r="I217" s="61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279</v>
      </c>
      <c r="D218" s="31"/>
      <c r="E218" s="31"/>
      <c r="F218" s="31"/>
      <c r="G218" s="31"/>
      <c r="H218" s="83">
        <v>0</v>
      </c>
      <c r="I218" s="61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280</v>
      </c>
      <c r="D219" s="31">
        <v>1</v>
      </c>
      <c r="E219" s="31">
        <v>4.4000000000000004</v>
      </c>
      <c r="F219" s="31">
        <v>1</v>
      </c>
      <c r="G219" s="31">
        <v>4.4000000000000004</v>
      </c>
      <c r="H219" s="83">
        <v>0</v>
      </c>
      <c r="I219" s="61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281</v>
      </c>
      <c r="D220" s="31">
        <v>1</v>
      </c>
      <c r="E220" s="31">
        <v>4.4000000000000004</v>
      </c>
      <c r="F220" s="31">
        <v>1</v>
      </c>
      <c r="G220" s="31">
        <v>4.4000000000000004</v>
      </c>
      <c r="H220" s="83">
        <v>0</v>
      </c>
      <c r="I220" s="61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282</v>
      </c>
      <c r="D221" s="31"/>
      <c r="E221" s="31"/>
      <c r="F221" s="31"/>
      <c r="G221" s="31"/>
      <c r="H221" s="83">
        <v>0</v>
      </c>
      <c r="I221" s="61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283</v>
      </c>
      <c r="D222" s="31"/>
      <c r="E222" s="31"/>
      <c r="F222" s="31"/>
      <c r="G222" s="31"/>
      <c r="H222" s="83">
        <v>0</v>
      </c>
      <c r="I222" s="61"/>
      <c r="J222" s="31"/>
      <c r="K222" s="31"/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284</v>
      </c>
      <c r="D223" s="31">
        <v>7</v>
      </c>
      <c r="E223" s="31">
        <f>40+4.4+4.4+4.4+4.4+4.4+15</f>
        <v>77</v>
      </c>
      <c r="F223" s="31">
        <v>7</v>
      </c>
      <c r="G223" s="31">
        <v>77</v>
      </c>
      <c r="H223" s="83">
        <v>0</v>
      </c>
      <c r="I223" s="61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285</v>
      </c>
      <c r="D224" s="31">
        <v>1</v>
      </c>
      <c r="E224" s="31">
        <v>15</v>
      </c>
      <c r="F224" s="31">
        <v>1</v>
      </c>
      <c r="G224" s="31">
        <v>15</v>
      </c>
      <c r="H224" s="83">
        <v>0</v>
      </c>
      <c r="I224" s="61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286</v>
      </c>
      <c r="D225" s="31">
        <v>1</v>
      </c>
      <c r="E225" s="31">
        <v>155</v>
      </c>
      <c r="F225" s="31">
        <v>1</v>
      </c>
      <c r="G225" s="31">
        <v>155</v>
      </c>
      <c r="H225" s="83">
        <v>0</v>
      </c>
      <c r="I225" s="61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287</v>
      </c>
      <c r="D226" s="31">
        <v>1</v>
      </c>
      <c r="E226" s="31">
        <v>12</v>
      </c>
      <c r="F226" s="31">
        <v>1</v>
      </c>
      <c r="G226" s="31">
        <v>12</v>
      </c>
      <c r="H226" s="83">
        <v>0</v>
      </c>
      <c r="I226" s="61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288</v>
      </c>
      <c r="D227" s="31">
        <v>1</v>
      </c>
      <c r="E227" s="31">
        <v>4.4000000000000004</v>
      </c>
      <c r="F227" s="31">
        <v>1</v>
      </c>
      <c r="G227" s="31">
        <v>4.4000000000000004</v>
      </c>
      <c r="H227" s="83">
        <v>0</v>
      </c>
      <c r="I227" s="61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289</v>
      </c>
      <c r="D228" s="31"/>
      <c r="E228" s="31"/>
      <c r="F228" s="31"/>
      <c r="G228" s="31"/>
      <c r="H228" s="83">
        <v>0</v>
      </c>
      <c r="I228" s="61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290</v>
      </c>
      <c r="D229" s="31">
        <v>1</v>
      </c>
      <c r="E229" s="31">
        <v>4.4000000000000004</v>
      </c>
      <c r="F229" s="31">
        <v>1</v>
      </c>
      <c r="G229" s="31">
        <v>4.4000000000000004</v>
      </c>
      <c r="H229" s="83">
        <v>0</v>
      </c>
      <c r="I229" s="61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291</v>
      </c>
      <c r="D230" s="31"/>
      <c r="E230" s="31"/>
      <c r="F230" s="31"/>
      <c r="G230" s="31"/>
      <c r="H230" s="83">
        <v>0</v>
      </c>
      <c r="I230" s="61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292</v>
      </c>
      <c r="D231" s="31"/>
      <c r="E231" s="31"/>
      <c r="F231" s="31"/>
      <c r="G231" s="31"/>
      <c r="H231" s="83">
        <v>0</v>
      </c>
      <c r="I231" s="61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293</v>
      </c>
      <c r="D232" s="31"/>
      <c r="E232" s="31"/>
      <c r="F232" s="31"/>
      <c r="G232" s="31"/>
      <c r="H232" s="83">
        <v>0</v>
      </c>
      <c r="I232" s="61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294</v>
      </c>
      <c r="D233" s="31">
        <v>3</v>
      </c>
      <c r="E233" s="31">
        <f>10+13+15</f>
        <v>38</v>
      </c>
      <c r="F233" s="31">
        <v>3</v>
      </c>
      <c r="G233" s="31">
        <f>10+13+15</f>
        <v>38</v>
      </c>
      <c r="H233" s="83">
        <v>0</v>
      </c>
      <c r="I233" s="61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295</v>
      </c>
      <c r="D234" s="31">
        <v>0</v>
      </c>
      <c r="E234" s="31">
        <v>0</v>
      </c>
      <c r="F234" s="31">
        <v>0</v>
      </c>
      <c r="G234" s="31">
        <v>0</v>
      </c>
      <c r="H234" s="83">
        <v>0</v>
      </c>
      <c r="I234" s="61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296</v>
      </c>
      <c r="D235" s="31">
        <v>0</v>
      </c>
      <c r="E235" s="31">
        <v>0</v>
      </c>
      <c r="F235" s="31">
        <v>0</v>
      </c>
      <c r="G235" s="31">
        <v>0</v>
      </c>
      <c r="H235" s="83">
        <v>0</v>
      </c>
      <c r="I235" s="61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297</v>
      </c>
      <c r="D236" s="31">
        <v>0</v>
      </c>
      <c r="E236" s="31">
        <v>0</v>
      </c>
      <c r="F236" s="31">
        <v>0</v>
      </c>
      <c r="G236" s="31">
        <v>0</v>
      </c>
      <c r="H236" s="83">
        <v>0</v>
      </c>
      <c r="I236" s="61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298</v>
      </c>
      <c r="D237" s="31">
        <v>0</v>
      </c>
      <c r="E237" s="31">
        <v>0</v>
      </c>
      <c r="F237" s="31">
        <v>0</v>
      </c>
      <c r="G237" s="31">
        <v>0</v>
      </c>
      <c r="H237" s="83">
        <v>0</v>
      </c>
      <c r="I237" s="61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299</v>
      </c>
      <c r="D238" s="31">
        <v>0</v>
      </c>
      <c r="E238" s="31">
        <v>0</v>
      </c>
      <c r="F238" s="31">
        <v>0</v>
      </c>
      <c r="G238" s="31">
        <v>0</v>
      </c>
      <c r="H238" s="83">
        <v>0</v>
      </c>
      <c r="I238" s="61"/>
      <c r="J238" s="31"/>
      <c r="K238" s="31"/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300</v>
      </c>
      <c r="D239" s="31">
        <v>0</v>
      </c>
      <c r="E239" s="31">
        <v>0</v>
      </c>
      <c r="F239" s="31">
        <v>0</v>
      </c>
      <c r="G239" s="31">
        <v>0</v>
      </c>
      <c r="H239" s="83">
        <v>0</v>
      </c>
      <c r="I239" s="61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301</v>
      </c>
      <c r="D240" s="31">
        <v>0</v>
      </c>
      <c r="E240" s="31">
        <v>0</v>
      </c>
      <c r="F240" s="31">
        <v>0</v>
      </c>
      <c r="G240" s="31">
        <v>0</v>
      </c>
      <c r="H240" s="83">
        <v>0</v>
      </c>
      <c r="I240" s="61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302</v>
      </c>
      <c r="D241" s="31">
        <v>0</v>
      </c>
      <c r="E241" s="31">
        <v>0</v>
      </c>
      <c r="F241" s="31">
        <v>0</v>
      </c>
      <c r="G241" s="31">
        <v>0</v>
      </c>
      <c r="H241" s="83">
        <v>0</v>
      </c>
      <c r="I241" s="61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303</v>
      </c>
      <c r="D242" s="31">
        <v>0</v>
      </c>
      <c r="E242" s="31">
        <v>0</v>
      </c>
      <c r="F242" s="31">
        <v>0</v>
      </c>
      <c r="G242" s="31">
        <v>0</v>
      </c>
      <c r="H242" s="83">
        <v>0</v>
      </c>
      <c r="I242" s="61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360</v>
      </c>
      <c r="D243" s="31">
        <v>0</v>
      </c>
      <c r="E243" s="31">
        <v>0</v>
      </c>
      <c r="F243" s="31">
        <v>0</v>
      </c>
      <c r="G243" s="31">
        <v>0</v>
      </c>
      <c r="H243" s="83">
        <v>0</v>
      </c>
      <c r="I243" s="61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5">
      <c r="A244" s="18"/>
      <c r="B244" s="53"/>
      <c r="C244" s="50" t="s">
        <v>304</v>
      </c>
      <c r="D244" s="31">
        <v>0</v>
      </c>
      <c r="E244" s="31">
        <v>0</v>
      </c>
      <c r="F244" s="31">
        <v>0</v>
      </c>
      <c r="G244" s="31">
        <v>0</v>
      </c>
      <c r="H244" s="83">
        <v>0</v>
      </c>
      <c r="I244" s="61"/>
      <c r="J244" s="31"/>
      <c r="K244" s="31"/>
      <c r="L244" s="8"/>
      <c r="M244" s="8"/>
      <c r="N244" s="8"/>
      <c r="O244" s="8"/>
      <c r="P244" s="8"/>
      <c r="Q244" s="8"/>
    </row>
    <row r="245" spans="1:17" ht="12.75" customHeight="1" x14ac:dyDescent="0.2">
      <c r="A245" s="18"/>
      <c r="B245" s="18"/>
      <c r="C245" s="19" t="s">
        <v>30</v>
      </c>
      <c r="D245" s="31">
        <f>SUM(D205:D244)</f>
        <v>39</v>
      </c>
      <c r="E245" s="31">
        <f t="shared" ref="E245" si="6">SUM(E205:E244)</f>
        <v>1516.8000000000004</v>
      </c>
      <c r="F245" s="31">
        <f t="shared" ref="F245:Q245" si="7">SUM(F205:F244)</f>
        <v>39</v>
      </c>
      <c r="G245" s="31">
        <f t="shared" si="7"/>
        <v>1516.8000000000004</v>
      </c>
      <c r="H245" s="31">
        <f t="shared" si="7"/>
        <v>0</v>
      </c>
      <c r="I245" s="31">
        <f t="shared" si="7"/>
        <v>0</v>
      </c>
      <c r="J245" s="31">
        <f t="shared" si="7"/>
        <v>0</v>
      </c>
      <c r="K245" s="31">
        <f t="shared" si="7"/>
        <v>0</v>
      </c>
      <c r="L245" s="31">
        <f t="shared" si="7"/>
        <v>0</v>
      </c>
      <c r="M245" s="31">
        <f t="shared" si="7"/>
        <v>0</v>
      </c>
      <c r="N245" s="31">
        <f t="shared" si="7"/>
        <v>0</v>
      </c>
      <c r="O245" s="31">
        <f t="shared" si="7"/>
        <v>0</v>
      </c>
      <c r="P245" s="31">
        <f t="shared" si="7"/>
        <v>0</v>
      </c>
      <c r="Q245" s="31">
        <f t="shared" si="7"/>
        <v>0</v>
      </c>
    </row>
    <row r="246" spans="1:17" ht="25.5" customHeight="1" x14ac:dyDescent="0.2">
      <c r="A246" s="14"/>
      <c r="B246" s="15"/>
      <c r="C246" s="108" t="s">
        <v>119</v>
      </c>
      <c r="D246" s="36">
        <f t="shared" ref="D246:Q246" si="8">SUM(D245+D203+D195+D185+D153+D102+D64)</f>
        <v>291</v>
      </c>
      <c r="E246" s="36">
        <f t="shared" si="8"/>
        <v>19865.199999999997</v>
      </c>
      <c r="F246" s="36">
        <f t="shared" si="8"/>
        <v>291</v>
      </c>
      <c r="G246" s="36">
        <f t="shared" si="8"/>
        <v>19865.199999999997</v>
      </c>
      <c r="H246" s="36">
        <f t="shared" si="8"/>
        <v>20</v>
      </c>
      <c r="I246" s="36">
        <f t="shared" si="8"/>
        <v>0</v>
      </c>
      <c r="J246" s="36">
        <f t="shared" si="8"/>
        <v>3</v>
      </c>
      <c r="K246" s="36">
        <f t="shared" si="8"/>
        <v>38</v>
      </c>
      <c r="L246" s="36">
        <f t="shared" si="8"/>
        <v>0</v>
      </c>
      <c r="M246" s="36">
        <f t="shared" si="8"/>
        <v>0</v>
      </c>
      <c r="N246" s="36">
        <f t="shared" si="8"/>
        <v>0</v>
      </c>
      <c r="O246" s="36">
        <f t="shared" si="8"/>
        <v>0</v>
      </c>
      <c r="P246" s="36">
        <f t="shared" si="8"/>
        <v>0</v>
      </c>
      <c r="Q246" s="36">
        <f t="shared" si="8"/>
        <v>0</v>
      </c>
    </row>
    <row r="247" spans="1:17" x14ac:dyDescent="0.2">
      <c r="A247" s="10" t="s">
        <v>10</v>
      </c>
      <c r="B247" s="62" t="s">
        <v>11</v>
      </c>
      <c r="D247" s="37">
        <f t="shared" ref="D247" si="9">SUM(D246:D246)</f>
        <v>291</v>
      </c>
      <c r="E247" s="38">
        <f t="shared" ref="E247" si="10">SUM(E246:E246)</f>
        <v>19865.199999999997</v>
      </c>
      <c r="F247" s="38">
        <f t="shared" ref="F247:Q247" si="11">SUM(F246:F246)</f>
        <v>291</v>
      </c>
      <c r="G247" s="38">
        <f t="shared" si="11"/>
        <v>19865.199999999997</v>
      </c>
      <c r="H247" s="38">
        <f t="shared" si="11"/>
        <v>20</v>
      </c>
      <c r="I247" s="38">
        <f t="shared" si="11"/>
        <v>0</v>
      </c>
      <c r="J247" s="38">
        <f t="shared" si="11"/>
        <v>3</v>
      </c>
      <c r="K247" s="38">
        <f t="shared" si="11"/>
        <v>38</v>
      </c>
      <c r="L247" s="38">
        <f t="shared" si="11"/>
        <v>0</v>
      </c>
      <c r="M247" s="38">
        <f t="shared" si="11"/>
        <v>0</v>
      </c>
      <c r="N247" s="38">
        <f t="shared" si="11"/>
        <v>0</v>
      </c>
      <c r="O247" s="38">
        <f t="shared" si="11"/>
        <v>0</v>
      </c>
      <c r="P247" s="38">
        <f t="shared" si="11"/>
        <v>0</v>
      </c>
      <c r="Q247" s="38">
        <f t="shared" si="11"/>
        <v>0</v>
      </c>
    </row>
    <row r="249" spans="1:17" x14ac:dyDescent="0.2">
      <c r="G249" s="79"/>
    </row>
    <row r="251" spans="1:17" x14ac:dyDescent="0.2">
      <c r="H251" s="35"/>
      <c r="I251" s="35"/>
      <c r="J251" s="35"/>
      <c r="K251" s="35"/>
    </row>
    <row r="252" spans="1:17" x14ac:dyDescent="0.2">
      <c r="F252" s="35"/>
      <c r="H252" s="99"/>
      <c r="I252" s="100"/>
      <c r="J252" s="35"/>
      <c r="K252" s="100"/>
    </row>
    <row r="253" spans="1:17" x14ac:dyDescent="0.2">
      <c r="H253" s="99"/>
      <c r="I253" s="100"/>
      <c r="J253" s="35"/>
      <c r="K253" s="100"/>
    </row>
    <row r="254" spans="1:17" x14ac:dyDescent="0.2">
      <c r="H254" s="99"/>
      <c r="I254" s="100"/>
      <c r="J254" s="35"/>
      <c r="K254" s="100"/>
    </row>
    <row r="255" spans="1:17" x14ac:dyDescent="0.2">
      <c r="H255" s="101"/>
      <c r="I255" s="103"/>
      <c r="J255" s="35"/>
      <c r="K255" s="102"/>
    </row>
    <row r="256" spans="1:17" x14ac:dyDescent="0.2">
      <c r="D256" s="82"/>
      <c r="E256" s="82"/>
      <c r="F256" s="82"/>
      <c r="G256" s="82"/>
      <c r="H256" s="101"/>
      <c r="I256" s="103"/>
      <c r="J256" s="35"/>
      <c r="K256" s="103"/>
    </row>
    <row r="257" spans="7:11" x14ac:dyDescent="0.2">
      <c r="H257" s="101"/>
      <c r="I257" s="103"/>
      <c r="J257" s="35"/>
      <c r="K257" s="103"/>
    </row>
    <row r="258" spans="7:11" x14ac:dyDescent="0.2">
      <c r="H258" s="101"/>
      <c r="I258" s="103"/>
      <c r="J258" s="35"/>
      <c r="K258" s="103"/>
    </row>
    <row r="259" spans="7:11" x14ac:dyDescent="0.2">
      <c r="H259" s="101"/>
      <c r="I259" s="103"/>
      <c r="J259" s="35"/>
      <c r="K259" s="103"/>
    </row>
    <row r="260" spans="7:11" x14ac:dyDescent="0.2">
      <c r="H260" s="104"/>
      <c r="I260" s="105"/>
      <c r="J260" s="35"/>
      <c r="K260" s="105"/>
    </row>
    <row r="261" spans="7:11" x14ac:dyDescent="0.2">
      <c r="G261" s="35"/>
      <c r="H261" s="101"/>
      <c r="I261" s="107"/>
      <c r="J261" s="107"/>
      <c r="K261" s="103"/>
    </row>
    <row r="262" spans="7:11" x14ac:dyDescent="0.2">
      <c r="G262" s="35"/>
      <c r="H262" s="101"/>
      <c r="I262" s="107"/>
      <c r="J262" s="107"/>
      <c r="K262" s="103"/>
    </row>
    <row r="263" spans="7:11" x14ac:dyDescent="0.2">
      <c r="G263" s="35"/>
      <c r="H263" s="101"/>
      <c r="I263" s="107"/>
      <c r="J263" s="107"/>
      <c r="K263" s="103"/>
    </row>
    <row r="264" spans="7:11" x14ac:dyDescent="0.2">
      <c r="G264" s="35"/>
      <c r="H264" s="101"/>
      <c r="I264" s="106"/>
      <c r="J264" s="35"/>
      <c r="K264" s="103"/>
    </row>
    <row r="265" spans="7:11" x14ac:dyDescent="0.2">
      <c r="G265" s="35"/>
      <c r="H265" s="101"/>
      <c r="I265" s="106"/>
      <c r="J265" s="13"/>
      <c r="K265" s="103"/>
    </row>
    <row r="266" spans="7:11" x14ac:dyDescent="0.2">
      <c r="G266" s="35"/>
      <c r="H266" s="35"/>
      <c r="I266" s="35"/>
      <c r="J266" s="35"/>
      <c r="K266" s="35"/>
    </row>
  </sheetData>
  <autoFilter ref="C21:C247"/>
  <customSheetViews>
    <customSheetView guid="{BC21180C-85F6-44E9-8911-8FF77947F378}" scale="85" showAutoFilter="1" hiddenRows="1">
      <pane ySplit="19" topLeftCell="A210" activePane="bottomLeft" state="frozen"/>
      <selection pane="bottomLeft" activeCell="F232" sqref="F232"/>
      <pageMargins left="0.75" right="0.75" top="1" bottom="1" header="0.5" footer="0.5"/>
      <pageSetup paperSize="9" scale="90" orientation="landscape" r:id="rId1"/>
      <headerFooter alignWithMargins="0"/>
      <autoFilter ref="C21:C247"/>
    </customSheetView>
    <customSheetView guid="{A743F9C7-8B89-4E8F-B91F-1FFB859064F2}" scale="85" showAutoFilter="1" hiddenRows="1">
      <pane ySplit="19" topLeftCell="A230" activePane="bottomLeft" state="frozen"/>
      <selection pane="bottomLeft" activeCell="E241" sqref="E241"/>
      <pageMargins left="0.75" right="0.75" top="1" bottom="1" header="0.5" footer="0.5"/>
      <pageSetup paperSize="9" scale="90" orientation="landscape" r:id="rId2"/>
      <headerFooter alignWithMargins="0"/>
      <autoFilter ref="C21:C247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4"/>
  <sheetViews>
    <sheetView zoomScale="85" zoomScaleNormal="85" workbookViewId="0">
      <pane ySplit="16" topLeftCell="A227" activePane="bottomLeft" state="frozen"/>
      <selection pane="bottomLeft" activeCell="B254" sqref="B254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75"/>
      <c r="J1" s="75"/>
      <c r="K1" s="75"/>
      <c r="L1" s="75"/>
      <c r="M1" s="17" t="s">
        <v>16</v>
      </c>
      <c r="N1" s="17"/>
    </row>
    <row r="2" spans="1:17" ht="15.75" hidden="1" x14ac:dyDescent="0.25">
      <c r="B2" t="s">
        <v>0</v>
      </c>
      <c r="I2" s="75"/>
      <c r="J2" s="75"/>
      <c r="K2" s="75"/>
      <c r="L2" s="75"/>
      <c r="M2" s="17" t="s">
        <v>12</v>
      </c>
      <c r="N2" s="17"/>
      <c r="O2" s="17"/>
    </row>
    <row r="3" spans="1:17" ht="15.75" hidden="1" x14ac:dyDescent="0.25">
      <c r="I3" s="75"/>
      <c r="J3" s="75"/>
      <c r="K3" s="75"/>
      <c r="L3" s="75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75"/>
      <c r="M4" s="17" t="s">
        <v>14</v>
      </c>
      <c r="N4" s="17"/>
      <c r="O4" s="17"/>
    </row>
    <row r="5" spans="1:17" ht="15.75" hidden="1" x14ac:dyDescent="0.25">
      <c r="I5" s="75"/>
      <c r="J5" s="75"/>
      <c r="K5" s="75"/>
      <c r="L5" s="75"/>
      <c r="M5" s="17" t="s">
        <v>15</v>
      </c>
      <c r="N5" s="17"/>
      <c r="O5" s="17"/>
    </row>
    <row r="6" spans="1:17" ht="15.75" hidden="1" x14ac:dyDescent="0.25">
      <c r="I6" s="75"/>
      <c r="J6" s="75"/>
      <c r="K6" s="75"/>
      <c r="L6" s="75"/>
      <c r="O6" s="17"/>
    </row>
    <row r="7" spans="1:17" ht="15.75" hidden="1" x14ac:dyDescent="0.25">
      <c r="I7" s="75"/>
      <c r="J7" s="75"/>
      <c r="K7" s="75"/>
      <c r="L7" s="75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7" ht="15.75" hidden="1" x14ac:dyDescent="0.25"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7" ht="15.75" hidden="1" x14ac:dyDescent="0.25">
      <c r="B12" s="71"/>
      <c r="C12" s="71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72"/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</row>
    <row r="14" spans="1:17" ht="16.5" thickBot="1" x14ac:dyDescent="0.3">
      <c r="B14" s="93" t="s">
        <v>362</v>
      </c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73" t="s">
        <v>17</v>
      </c>
      <c r="E16" s="73"/>
      <c r="F16" s="73" t="s">
        <v>4</v>
      </c>
      <c r="G16" s="78"/>
      <c r="H16" s="74" t="s">
        <v>5</v>
      </c>
      <c r="I16" s="65"/>
      <c r="J16" s="88" t="s">
        <v>6</v>
      </c>
      <c r="K16" s="65"/>
      <c r="L16" s="64" t="s">
        <v>18</v>
      </c>
      <c r="M16" s="65"/>
      <c r="N16" s="64" t="s">
        <v>19</v>
      </c>
      <c r="O16" s="65"/>
      <c r="P16" s="64" t="s">
        <v>20</v>
      </c>
      <c r="Q16" s="65"/>
    </row>
    <row r="17" spans="1:17" ht="13.5" thickTop="1" x14ac:dyDescent="0.2">
      <c r="A17" s="4">
        <v>1</v>
      </c>
      <c r="B17" s="5">
        <v>2</v>
      </c>
      <c r="C17" s="6">
        <v>3</v>
      </c>
      <c r="D17" s="66">
        <v>4</v>
      </c>
      <c r="E17" s="77"/>
      <c r="F17" s="67">
        <v>5</v>
      </c>
      <c r="G17" s="70"/>
      <c r="H17" s="68">
        <v>6</v>
      </c>
      <c r="I17" s="70"/>
      <c r="J17" s="68">
        <v>7</v>
      </c>
      <c r="K17" s="70"/>
      <c r="L17" s="69">
        <v>8</v>
      </c>
      <c r="M17" s="70"/>
      <c r="N17" s="69">
        <v>9</v>
      </c>
      <c r="O17" s="70"/>
      <c r="P17" s="69">
        <v>10</v>
      </c>
      <c r="Q17" s="70"/>
    </row>
    <row r="18" spans="1:17" ht="12.75" customHeight="1" x14ac:dyDescent="0.2">
      <c r="A18" s="7"/>
      <c r="B18" s="7"/>
      <c r="C18" s="7"/>
      <c r="D18" s="61" t="s">
        <v>7</v>
      </c>
      <c r="E18" s="61" t="s">
        <v>8</v>
      </c>
      <c r="F18" s="61" t="s">
        <v>7</v>
      </c>
      <c r="G18" s="61" t="s">
        <v>8</v>
      </c>
      <c r="H18" s="61" t="s">
        <v>7</v>
      </c>
      <c r="I18" s="61" t="s">
        <v>8</v>
      </c>
      <c r="J18" s="61" t="s">
        <v>7</v>
      </c>
      <c r="K18" s="61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361</v>
      </c>
      <c r="C19" s="63" t="s">
        <v>146</v>
      </c>
      <c r="D19" s="76"/>
      <c r="E19" s="61"/>
      <c r="F19" s="61"/>
      <c r="G19" s="61"/>
      <c r="H19" s="61"/>
      <c r="I19" s="61"/>
      <c r="J19" s="61"/>
      <c r="K19" s="61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84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0</v>
      </c>
      <c r="E21" s="31">
        <v>0</v>
      </c>
      <c r="F21" s="31">
        <v>0</v>
      </c>
      <c r="G21" s="31">
        <v>0</v>
      </c>
      <c r="H21" s="84">
        <v>0</v>
      </c>
      <c r="I21" s="24"/>
      <c r="J21" s="31"/>
      <c r="K21" s="31"/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0</v>
      </c>
      <c r="E22" s="31">
        <v>0</v>
      </c>
      <c r="F22" s="31">
        <v>0</v>
      </c>
      <c r="G22" s="31">
        <v>0</v>
      </c>
      <c r="H22" s="84">
        <v>0</v>
      </c>
      <c r="I22" s="24"/>
      <c r="J22" s="31"/>
      <c r="K22" s="31"/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0</v>
      </c>
      <c r="E23" s="31">
        <v>0</v>
      </c>
      <c r="F23" s="31">
        <v>0</v>
      </c>
      <c r="G23" s="31">
        <v>0</v>
      </c>
      <c r="H23" s="84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0</v>
      </c>
      <c r="E24" s="31">
        <v>0</v>
      </c>
      <c r="F24" s="31">
        <v>0</v>
      </c>
      <c r="G24" s="31">
        <v>0</v>
      </c>
      <c r="H24" s="84">
        <v>0</v>
      </c>
      <c r="I24" s="24"/>
      <c r="J24" s="31"/>
      <c r="K24" s="31"/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0</v>
      </c>
      <c r="E25" s="31">
        <v>0</v>
      </c>
      <c r="F25" s="31">
        <v>0</v>
      </c>
      <c r="G25" s="31">
        <v>0</v>
      </c>
      <c r="H25" s="84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61">
        <v>0</v>
      </c>
      <c r="E26" s="96">
        <v>0</v>
      </c>
      <c r="F26" s="96">
        <v>0</v>
      </c>
      <c r="G26" s="96">
        <v>0</v>
      </c>
      <c r="H26" s="84">
        <v>0</v>
      </c>
      <c r="I26" s="61"/>
      <c r="J26" s="61"/>
      <c r="K26" s="61"/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4</v>
      </c>
      <c r="E27" s="31">
        <f>15+10+50+7</f>
        <v>82</v>
      </c>
      <c r="F27" s="31">
        <v>4</v>
      </c>
      <c r="G27" s="31">
        <v>82</v>
      </c>
      <c r="H27" s="84">
        <v>0</v>
      </c>
      <c r="I27" s="24"/>
      <c r="J27" s="31">
        <v>1</v>
      </c>
      <c r="K27" s="31">
        <f>10</f>
        <v>10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1</v>
      </c>
      <c r="E28" s="31">
        <v>4</v>
      </c>
      <c r="F28" s="31">
        <v>1</v>
      </c>
      <c r="G28" s="31">
        <v>4</v>
      </c>
      <c r="H28" s="84">
        <v>0</v>
      </c>
      <c r="I28" s="24"/>
      <c r="J28" s="31"/>
      <c r="K28" s="31"/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10</v>
      </c>
      <c r="E29" s="31">
        <f>10+8+8+5+8+10+5+10+7+15</f>
        <v>86</v>
      </c>
      <c r="F29" s="31">
        <v>10</v>
      </c>
      <c r="G29" s="31">
        <v>86</v>
      </c>
      <c r="H29" s="84">
        <v>0</v>
      </c>
      <c r="I29" s="24"/>
      <c r="J29" s="31"/>
      <c r="K29" s="31"/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5</v>
      </c>
      <c r="E30" s="31">
        <f>8+8+8+6+15</f>
        <v>45</v>
      </c>
      <c r="F30" s="31">
        <v>5</v>
      </c>
      <c r="G30" s="31">
        <v>45</v>
      </c>
      <c r="H30" s="84">
        <v>0</v>
      </c>
      <c r="I30" s="24"/>
      <c r="J30" s="31"/>
      <c r="K30" s="31"/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6</v>
      </c>
      <c r="E31" s="31">
        <f>12+30+10+5+15+40</f>
        <v>112</v>
      </c>
      <c r="F31" s="31">
        <v>6</v>
      </c>
      <c r="G31" s="31">
        <v>112</v>
      </c>
      <c r="H31" s="84">
        <v>0</v>
      </c>
      <c r="I31" s="24"/>
      <c r="J31" s="31">
        <v>1</v>
      </c>
      <c r="K31" s="31">
        <v>12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1</v>
      </c>
      <c r="E32" s="31">
        <v>15</v>
      </c>
      <c r="F32" s="31">
        <v>1</v>
      </c>
      <c r="G32" s="31">
        <v>15</v>
      </c>
      <c r="H32" s="84">
        <v>0</v>
      </c>
      <c r="I32" s="24"/>
      <c r="J32" s="31"/>
      <c r="K32" s="31"/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61">
        <v>27</v>
      </c>
      <c r="E33" s="61">
        <f>5.5+15+6+4+10+10+6+6+15+10+8+5+6+5+4+12+12+5+5+5+11+14+10+8+12+10+12</f>
        <v>231.5</v>
      </c>
      <c r="F33" s="92">
        <v>27</v>
      </c>
      <c r="G33" s="92">
        <v>231.5</v>
      </c>
      <c r="H33" s="84">
        <v>0</v>
      </c>
      <c r="I33" s="61"/>
      <c r="J33" s="61">
        <v>6</v>
      </c>
      <c r="K33" s="61">
        <f>6+6+10+10+4+6+5.5</f>
        <v>47.5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7</v>
      </c>
      <c r="E34" s="31">
        <f>5+15+3+8+5+3+5</f>
        <v>44</v>
      </c>
      <c r="F34" s="31">
        <v>7</v>
      </c>
      <c r="G34" s="31">
        <f>5+15+3+8+5+3+5</f>
        <v>44</v>
      </c>
      <c r="H34" s="84">
        <v>0</v>
      </c>
      <c r="I34" s="24"/>
      <c r="J34" s="31"/>
      <c r="K34" s="31"/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6</v>
      </c>
      <c r="E35" s="31">
        <f>6+10+15+3+7+5</f>
        <v>46</v>
      </c>
      <c r="F35" s="31">
        <v>6</v>
      </c>
      <c r="G35" s="31">
        <v>46</v>
      </c>
      <c r="H35" s="84">
        <v>0</v>
      </c>
      <c r="I35" s="24"/>
      <c r="J35" s="31"/>
      <c r="K35" s="31"/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41</v>
      </c>
      <c r="E36" s="31">
        <f>5+6+5+2+5+10+3+5+2+14+5+6+2+6+5+3+2.5+10+1+2+3+2+1.5+14+2.5+2+3+3+5+14.5+5+5+15+15+10+10+15+4+3.5+7+2</f>
        <v>241.5</v>
      </c>
      <c r="F36" s="31">
        <v>41</v>
      </c>
      <c r="G36" s="31">
        <f>5+6+5+2+5+10+3+5+2+14+5+6+2+6+5+3+2.5+10+1+2+3+2+1.5+14+2.5+2+3+3+5+14.5+5+5+15+15+10+10+15+4+3.5+7+2</f>
        <v>241.5</v>
      </c>
      <c r="H36" s="84">
        <v>0</v>
      </c>
      <c r="I36" s="24"/>
      <c r="J36" s="31"/>
      <c r="K36" s="31"/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13</v>
      </c>
      <c r="E37" s="31">
        <f>10+10+15+6+2+4+3+2+2.5+3+5+10+15</f>
        <v>87.5</v>
      </c>
      <c r="F37" s="31">
        <v>13</v>
      </c>
      <c r="G37" s="31">
        <v>87.5</v>
      </c>
      <c r="H37" s="84">
        <v>0</v>
      </c>
      <c r="I37" s="24"/>
      <c r="J37" s="31">
        <v>1</v>
      </c>
      <c r="K37" s="31">
        <f>10</f>
        <v>10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12</v>
      </c>
      <c r="E38" s="31">
        <f>7+12+15+13+13+12+7+5+35+15+2.2+8</f>
        <v>144.19999999999999</v>
      </c>
      <c r="F38" s="31">
        <v>12</v>
      </c>
      <c r="G38" s="31">
        <v>144.19999999999999</v>
      </c>
      <c r="H38" s="84">
        <v>0</v>
      </c>
      <c r="I38" s="24"/>
      <c r="J38" s="31">
        <v>2</v>
      </c>
      <c r="K38" s="31">
        <f>7+6</f>
        <v>13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91">
        <v>9</v>
      </c>
      <c r="E39" s="91">
        <f>10+10+15+8+15+10+15+8+15</f>
        <v>106</v>
      </c>
      <c r="F39" s="31">
        <v>9</v>
      </c>
      <c r="G39" s="31">
        <v>106</v>
      </c>
      <c r="H39" s="84">
        <v>0</v>
      </c>
      <c r="I39" s="24"/>
      <c r="J39" s="31">
        <v>2</v>
      </c>
      <c r="K39" s="31">
        <f>10+10</f>
        <v>20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4</v>
      </c>
      <c r="E40" s="31">
        <f>10+10+5+11</f>
        <v>36</v>
      </c>
      <c r="F40" s="31">
        <v>4</v>
      </c>
      <c r="G40" s="31">
        <f>10+10+5+11</f>
        <v>36</v>
      </c>
      <c r="H40" s="84">
        <v>0</v>
      </c>
      <c r="I40" s="24"/>
      <c r="J40" s="31">
        <v>1</v>
      </c>
      <c r="K40" s="31">
        <f>10</f>
        <v>10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/>
      <c r="E41" s="31"/>
      <c r="F41" s="31"/>
      <c r="G41" s="31"/>
      <c r="H41" s="84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1</v>
      </c>
      <c r="E42" s="31">
        <f>12</f>
        <v>12</v>
      </c>
      <c r="F42" s="31">
        <v>1</v>
      </c>
      <c r="G42" s="31">
        <f>12</f>
        <v>12</v>
      </c>
      <c r="H42" s="84">
        <v>0</v>
      </c>
      <c r="I42" s="24"/>
      <c r="J42" s="31">
        <v>1</v>
      </c>
      <c r="K42" s="31">
        <v>12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/>
      <c r="E43" s="31"/>
      <c r="F43" s="31"/>
      <c r="G43" s="31"/>
      <c r="H43" s="84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84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12</v>
      </c>
      <c r="E45" s="31">
        <f>15+10+10+13+6+10+15+15+15+15+8</f>
        <v>132</v>
      </c>
      <c r="F45" s="31">
        <v>12</v>
      </c>
      <c r="G45" s="31">
        <v>132</v>
      </c>
      <c r="H45" s="84">
        <v>0</v>
      </c>
      <c r="I45" s="24"/>
      <c r="J45" s="31"/>
      <c r="K45" s="31"/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61"/>
      <c r="E46" s="61"/>
      <c r="F46" s="61"/>
      <c r="G46" s="61"/>
      <c r="H46" s="84">
        <v>0</v>
      </c>
      <c r="I46" s="61"/>
      <c r="J46" s="61"/>
      <c r="K46" s="61"/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/>
      <c r="E47" s="31"/>
      <c r="F47" s="31"/>
      <c r="G47" s="31"/>
      <c r="H47" s="84">
        <v>0</v>
      </c>
      <c r="I47" s="24"/>
      <c r="J47" s="31"/>
      <c r="K47" s="31"/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1</v>
      </c>
      <c r="E48" s="31"/>
      <c r="F48" s="31">
        <v>1</v>
      </c>
      <c r="G48" s="31"/>
      <c r="H48" s="84">
        <v>0</v>
      </c>
      <c r="I48" s="24"/>
      <c r="J48" s="31"/>
      <c r="K48" s="31"/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/>
      <c r="E49" s="31"/>
      <c r="F49" s="31"/>
      <c r="G49" s="31"/>
      <c r="H49" s="84">
        <v>0</v>
      </c>
      <c r="I49" s="24"/>
      <c r="J49" s="31"/>
      <c r="K49" s="31"/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84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84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84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1</v>
      </c>
      <c r="E53" s="31">
        <f>10</f>
        <v>10</v>
      </c>
      <c r="F53" s="31">
        <v>1</v>
      </c>
      <c r="G53" s="31">
        <f>10</f>
        <v>10</v>
      </c>
      <c r="H53" s="84">
        <v>0</v>
      </c>
      <c r="I53" s="24"/>
      <c r="J53" s="31">
        <v>1</v>
      </c>
      <c r="K53" s="31">
        <f>10</f>
        <v>10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/>
      <c r="E54" s="31"/>
      <c r="F54" s="31"/>
      <c r="G54" s="31"/>
      <c r="H54" s="84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7</v>
      </c>
      <c r="E55" s="31">
        <f>10+10+6+14+14+10+15</f>
        <v>79</v>
      </c>
      <c r="F55" s="31">
        <v>7</v>
      </c>
      <c r="G55" s="31">
        <v>79</v>
      </c>
      <c r="H55" s="84">
        <v>0</v>
      </c>
      <c r="I55" s="24"/>
      <c r="J55" s="31">
        <v>2</v>
      </c>
      <c r="K55" s="31">
        <f>10+10</f>
        <v>20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61">
        <v>2</v>
      </c>
      <c r="E56" s="61">
        <f>5+5</f>
        <v>10</v>
      </c>
      <c r="F56" s="90">
        <v>2</v>
      </c>
      <c r="G56" s="90">
        <f>5+5</f>
        <v>10</v>
      </c>
      <c r="H56" s="84">
        <v>0</v>
      </c>
      <c r="I56" s="61"/>
      <c r="J56" s="61">
        <v>1</v>
      </c>
      <c r="K56" s="61">
        <v>5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/>
      <c r="E57" s="31"/>
      <c r="F57" s="31"/>
      <c r="G57" s="31"/>
      <c r="H57" s="84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84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84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346</v>
      </c>
      <c r="D60" s="31"/>
      <c r="E60" s="31"/>
      <c r="F60" s="31"/>
      <c r="G60" s="31"/>
      <c r="H60" s="84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174</v>
      </c>
      <c r="E61" s="31">
        <f t="shared" si="0"/>
        <v>1565.7</v>
      </c>
      <c r="F61" s="31">
        <f t="shared" si="0"/>
        <v>174</v>
      </c>
      <c r="G61" s="31">
        <f t="shared" si="0"/>
        <v>1565.7</v>
      </c>
      <c r="H61" s="31">
        <f t="shared" si="0"/>
        <v>0</v>
      </c>
      <c r="I61" s="31">
        <f t="shared" si="0"/>
        <v>0</v>
      </c>
      <c r="J61" s="31">
        <f t="shared" si="0"/>
        <v>19</v>
      </c>
      <c r="K61" s="31">
        <f t="shared" si="0"/>
        <v>169.5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63" t="s">
        <v>148</v>
      </c>
      <c r="D62" s="76"/>
      <c r="E62" s="31"/>
      <c r="F62" s="31"/>
      <c r="G62" s="31"/>
      <c r="H62" s="84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351</v>
      </c>
      <c r="D63" s="31">
        <v>34</v>
      </c>
      <c r="E63" s="31">
        <f>10+7+12+8+15+15+4+12+8+8+7+12+7+15+6+6+8+7+5+15+10+3+10+10+5+5+15+5+20+14+15+15+10+15</f>
        <v>339</v>
      </c>
      <c r="F63" s="31">
        <v>34</v>
      </c>
      <c r="G63" s="31">
        <v>339</v>
      </c>
      <c r="H63" s="84">
        <v>0</v>
      </c>
      <c r="I63" s="24"/>
      <c r="J63" s="31">
        <v>5</v>
      </c>
      <c r="K63" s="31">
        <f>10+7+12+8+15</f>
        <v>52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28</v>
      </c>
      <c r="E64" s="31">
        <f>15+15+5+15+15+15+15+8+15+15+15+15+4.5+15+10+15+10+15+15+15+13+15+15+5+5+10+5+15</f>
        <v>345.5</v>
      </c>
      <c r="F64" s="31">
        <v>28</v>
      </c>
      <c r="G64" s="31">
        <v>345.5</v>
      </c>
      <c r="H64" s="84">
        <v>0</v>
      </c>
      <c r="I64" s="24"/>
      <c r="J64" s="31">
        <v>4</v>
      </c>
      <c r="K64" s="31">
        <f>15+15+5+15</f>
        <v>50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6</v>
      </c>
      <c r="E65" s="31">
        <f>5+350+5+30+5+4.5</f>
        <v>399.5</v>
      </c>
      <c r="F65" s="31">
        <v>6</v>
      </c>
      <c r="G65" s="31">
        <f>5+350+5+30+5+4.5</f>
        <v>399.5</v>
      </c>
      <c r="H65" s="84">
        <v>0</v>
      </c>
      <c r="I65" s="24"/>
      <c r="J65" s="31">
        <v>2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84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7</v>
      </c>
      <c r="E67" s="31">
        <f>15+5+5+15+6+15+30</f>
        <v>91</v>
      </c>
      <c r="F67" s="31">
        <v>7</v>
      </c>
      <c r="G67" s="31">
        <v>91</v>
      </c>
      <c r="H67" s="84">
        <v>0</v>
      </c>
      <c r="I67" s="24"/>
      <c r="J67" s="31"/>
      <c r="K67" s="31"/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352</v>
      </c>
      <c r="D68" s="31">
        <v>1</v>
      </c>
      <c r="E68" s="31">
        <v>10</v>
      </c>
      <c r="F68" s="31">
        <v>1</v>
      </c>
      <c r="G68" s="31">
        <v>10</v>
      </c>
      <c r="H68" s="84">
        <v>0</v>
      </c>
      <c r="I68" s="24"/>
      <c r="J68" s="31"/>
      <c r="K68" s="31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3</v>
      </c>
      <c r="E69" s="31">
        <f>2.5+7+13</f>
        <v>22.5</v>
      </c>
      <c r="F69" s="31">
        <v>3</v>
      </c>
      <c r="G69" s="31">
        <v>22.5</v>
      </c>
      <c r="H69" s="84">
        <v>0</v>
      </c>
      <c r="I69" s="24"/>
      <c r="J69" s="31"/>
      <c r="K69" s="31"/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/>
      <c r="E70" s="31"/>
      <c r="F70" s="31"/>
      <c r="G70" s="31"/>
      <c r="H70" s="84">
        <v>0</v>
      </c>
      <c r="I70" s="24"/>
      <c r="J70" s="31"/>
      <c r="K70" s="31"/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3</v>
      </c>
      <c r="E71" s="31">
        <f>5+10+10</f>
        <v>25</v>
      </c>
      <c r="F71" s="31">
        <v>3</v>
      </c>
      <c r="G71" s="31">
        <f>5+10+10</f>
        <v>25</v>
      </c>
      <c r="H71" s="84">
        <v>0</v>
      </c>
      <c r="I71" s="24"/>
      <c r="J71" s="31"/>
      <c r="K71" s="31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84">
        <v>0</v>
      </c>
      <c r="I72" s="24"/>
      <c r="J72" s="31"/>
      <c r="K72" s="31"/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/>
      <c r="E73" s="31"/>
      <c r="F73" s="31"/>
      <c r="G73" s="31"/>
      <c r="H73" s="84">
        <v>0</v>
      </c>
      <c r="I73" s="24"/>
      <c r="J73" s="31"/>
      <c r="K73" s="31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9</v>
      </c>
      <c r="E74" s="31">
        <f>5+10+7+5+7+15+5+15+5</f>
        <v>74</v>
      </c>
      <c r="F74" s="31">
        <v>9</v>
      </c>
      <c r="G74" s="31">
        <v>74</v>
      </c>
      <c r="H74" s="84">
        <v>0</v>
      </c>
      <c r="I74" s="24"/>
      <c r="J74" s="31"/>
      <c r="K74" s="31"/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2</v>
      </c>
      <c r="E75" s="31">
        <f>3.5+5</f>
        <v>8.5</v>
      </c>
      <c r="F75" s="31">
        <v>2</v>
      </c>
      <c r="G75" s="31">
        <f>3.5+5</f>
        <v>8.5</v>
      </c>
      <c r="H75" s="84">
        <v>0</v>
      </c>
      <c r="I75" s="24"/>
      <c r="J75" s="31"/>
      <c r="K75" s="31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/>
      <c r="E76" s="31"/>
      <c r="F76" s="31"/>
      <c r="G76" s="31"/>
      <c r="H76" s="84">
        <v>0</v>
      </c>
      <c r="I76" s="24"/>
      <c r="J76" s="31"/>
      <c r="K76" s="31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84">
        <v>0</v>
      </c>
      <c r="I77" s="24"/>
      <c r="J77" s="31"/>
      <c r="K77" s="31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3</v>
      </c>
      <c r="E78" s="31">
        <f>10+15+7</f>
        <v>32</v>
      </c>
      <c r="F78" s="31">
        <v>3</v>
      </c>
      <c r="G78" s="31">
        <v>32</v>
      </c>
      <c r="H78" s="84">
        <v>0</v>
      </c>
      <c r="I78" s="24"/>
      <c r="J78" s="31"/>
      <c r="K78" s="31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84">
        <v>0</v>
      </c>
      <c r="I79" s="24"/>
      <c r="J79" s="31"/>
      <c r="K79" s="31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4</v>
      </c>
      <c r="E80" s="31">
        <f>100+5+5+10</f>
        <v>120</v>
      </c>
      <c r="F80" s="31">
        <v>4</v>
      </c>
      <c r="G80" s="31">
        <f>100+5+5+10</f>
        <v>120</v>
      </c>
      <c r="H80" s="84">
        <v>0</v>
      </c>
      <c r="I80" s="24"/>
      <c r="J80" s="31"/>
      <c r="K80" s="31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353</v>
      </c>
      <c r="D81" s="31">
        <v>4</v>
      </c>
      <c r="E81" s="31">
        <f>5+15+5+10</f>
        <v>35</v>
      </c>
      <c r="F81" s="31">
        <v>4</v>
      </c>
      <c r="G81" s="31">
        <v>35</v>
      </c>
      <c r="H81" s="84">
        <v>0</v>
      </c>
      <c r="I81" s="24"/>
      <c r="J81" s="31"/>
      <c r="K81" s="31"/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84">
        <v>0</v>
      </c>
      <c r="I82" s="24"/>
      <c r="J82" s="31">
        <v>1</v>
      </c>
      <c r="K82" s="31"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4</v>
      </c>
      <c r="E83" s="31">
        <f>8+2.5+12+6</f>
        <v>28.5</v>
      </c>
      <c r="F83" s="31">
        <v>4</v>
      </c>
      <c r="G83" s="31">
        <v>28.5</v>
      </c>
      <c r="H83" s="84">
        <v>0</v>
      </c>
      <c r="I83" s="24"/>
      <c r="J83" s="31"/>
      <c r="K83" s="31"/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358</v>
      </c>
      <c r="D84" s="31">
        <v>1</v>
      </c>
      <c r="E84" s="31">
        <v>5</v>
      </c>
      <c r="F84" s="31">
        <v>1</v>
      </c>
      <c r="G84" s="31">
        <v>5</v>
      </c>
      <c r="H84" s="84">
        <v>0</v>
      </c>
      <c r="I84" s="24"/>
      <c r="J84" s="31"/>
      <c r="K84" s="31"/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/>
      <c r="E85" s="31"/>
      <c r="F85" s="31"/>
      <c r="G85" s="31"/>
      <c r="H85" s="84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/>
      <c r="E86" s="31"/>
      <c r="F86" s="31"/>
      <c r="G86" s="31"/>
      <c r="H86" s="84">
        <v>0</v>
      </c>
      <c r="I86" s="24"/>
      <c r="J86" s="31"/>
      <c r="K86" s="31"/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354</v>
      </c>
      <c r="D87" s="31"/>
      <c r="E87" s="31"/>
      <c r="F87" s="31"/>
      <c r="G87" s="31"/>
      <c r="H87" s="84">
        <v>0</v>
      </c>
      <c r="I87" s="24"/>
      <c r="J87" s="31"/>
      <c r="K87" s="31"/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355</v>
      </c>
      <c r="D88" s="31">
        <v>1</v>
      </c>
      <c r="E88" s="31">
        <v>10</v>
      </c>
      <c r="F88" s="31">
        <v>1</v>
      </c>
      <c r="G88" s="31">
        <v>10</v>
      </c>
      <c r="H88" s="84">
        <v>0</v>
      </c>
      <c r="I88" s="24"/>
      <c r="J88" s="31"/>
      <c r="K88" s="31"/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84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356</v>
      </c>
      <c r="D90" s="31">
        <v>10</v>
      </c>
      <c r="E90" s="31">
        <f>10+12+8+40+5+7+5+12+5+8</f>
        <v>112</v>
      </c>
      <c r="F90" s="31">
        <v>10</v>
      </c>
      <c r="G90" s="31">
        <v>112</v>
      </c>
      <c r="H90" s="84">
        <v>0</v>
      </c>
      <c r="I90" s="24"/>
      <c r="J90" s="31"/>
      <c r="K90" s="31"/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84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84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359</v>
      </c>
      <c r="D93" s="31">
        <v>1</v>
      </c>
      <c r="E93" s="31">
        <v>6</v>
      </c>
      <c r="F93" s="31">
        <v>1</v>
      </c>
      <c r="G93" s="31">
        <v>6</v>
      </c>
      <c r="H93" s="84">
        <v>0</v>
      </c>
      <c r="I93" s="24"/>
      <c r="J93" s="31"/>
      <c r="K93" s="31"/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4</v>
      </c>
      <c r="E94" s="31">
        <f>6+15+10+8</f>
        <v>39</v>
      </c>
      <c r="F94" s="31">
        <v>4</v>
      </c>
      <c r="G94" s="31">
        <v>39</v>
      </c>
      <c r="H94" s="84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357</v>
      </c>
      <c r="D95" s="31"/>
      <c r="E95" s="31"/>
      <c r="F95" s="31"/>
      <c r="G95" s="31"/>
      <c r="H95" s="84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3</v>
      </c>
      <c r="E96" s="31">
        <f>6+7+5</f>
        <v>18</v>
      </c>
      <c r="F96" s="31">
        <v>3</v>
      </c>
      <c r="G96" s="31">
        <f>6+7+5</f>
        <v>18</v>
      </c>
      <c r="H96" s="84">
        <v>0</v>
      </c>
      <c r="I96" s="24"/>
      <c r="J96" s="31">
        <v>1</v>
      </c>
      <c r="K96" s="31">
        <v>6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1</v>
      </c>
      <c r="E97" s="31">
        <v>7</v>
      </c>
      <c r="F97" s="31">
        <v>1</v>
      </c>
      <c r="G97" s="31">
        <v>7</v>
      </c>
      <c r="H97" s="84">
        <v>0</v>
      </c>
      <c r="I97" s="24"/>
      <c r="J97" s="31"/>
      <c r="K97" s="31"/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84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133</v>
      </c>
      <c r="E99" s="31">
        <f t="shared" si="1"/>
        <v>1749.5</v>
      </c>
      <c r="F99" s="31">
        <f t="shared" si="1"/>
        <v>133</v>
      </c>
      <c r="G99" s="31">
        <f t="shared" si="1"/>
        <v>1749.5</v>
      </c>
      <c r="H99" s="31">
        <f t="shared" si="1"/>
        <v>0</v>
      </c>
      <c r="I99" s="31">
        <f t="shared" si="1"/>
        <v>0</v>
      </c>
      <c r="J99" s="31">
        <f t="shared" si="1"/>
        <v>13</v>
      </c>
      <c r="K99" s="31">
        <f t="shared" si="1"/>
        <v>122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84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14</v>
      </c>
      <c r="E101" s="31">
        <f>4+5+13+8+160+10+5+14+10+3+5+6+8+3</f>
        <v>254</v>
      </c>
      <c r="F101" s="31">
        <v>14</v>
      </c>
      <c r="G101" s="31">
        <v>254</v>
      </c>
      <c r="H101" s="84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13</v>
      </c>
      <c r="E102" s="31">
        <f>12+12+5+8+50+14+30+12+8+12+5+3+13</f>
        <v>184</v>
      </c>
      <c r="F102" s="31">
        <v>13</v>
      </c>
      <c r="G102" s="31">
        <v>184</v>
      </c>
      <c r="H102" s="84">
        <v>0</v>
      </c>
      <c r="I102" s="24"/>
      <c r="J102" s="31"/>
      <c r="K102" s="31"/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3</v>
      </c>
      <c r="E103" s="31">
        <f>5+12+5</f>
        <v>22</v>
      </c>
      <c r="F103" s="31">
        <v>3</v>
      </c>
      <c r="G103" s="31">
        <f>5+12+5</f>
        <v>22</v>
      </c>
      <c r="H103" s="84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15</v>
      </c>
      <c r="E104" s="31">
        <f>5+70+5+13+5+5+8+10+5+8+15+12+5+5+10</f>
        <v>181</v>
      </c>
      <c r="F104" s="31">
        <v>15</v>
      </c>
      <c r="G104" s="31">
        <v>181</v>
      </c>
      <c r="H104" s="84">
        <v>0</v>
      </c>
      <c r="I104" s="24"/>
      <c r="J104" s="31">
        <v>2</v>
      </c>
      <c r="K104" s="31">
        <f>5+5</f>
        <v>10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5</v>
      </c>
      <c r="E105" s="31">
        <f>45+10+5+10+4</f>
        <v>74</v>
      </c>
      <c r="F105" s="31">
        <v>5</v>
      </c>
      <c r="G105" s="31">
        <f>45+10+5+10+4</f>
        <v>74</v>
      </c>
      <c r="H105" s="84">
        <v>0</v>
      </c>
      <c r="I105" s="24"/>
      <c r="J105" s="31">
        <v>1</v>
      </c>
      <c r="K105" s="31">
        <f>10</f>
        <v>10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2</v>
      </c>
      <c r="E106" s="31">
        <f>7+14.5</f>
        <v>21.5</v>
      </c>
      <c r="F106" s="31">
        <v>2</v>
      </c>
      <c r="G106" s="31">
        <f>7+14.5</f>
        <v>21.5</v>
      </c>
      <c r="H106" s="84">
        <v>0</v>
      </c>
      <c r="I106" s="24"/>
      <c r="J106" s="31"/>
      <c r="K106" s="31"/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5</v>
      </c>
      <c r="E107" s="31">
        <f>10+5+10+5+10</f>
        <v>40</v>
      </c>
      <c r="F107" s="31">
        <v>5</v>
      </c>
      <c r="G107" s="31">
        <v>40</v>
      </c>
      <c r="H107" s="84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20</v>
      </c>
      <c r="E108" s="31">
        <f>50+10+5+5+5+10+5+10+13+5+7+10+5+5+5+5+11+5+15+5</f>
        <v>191</v>
      </c>
      <c r="F108" s="31">
        <v>20</v>
      </c>
      <c r="G108" s="31">
        <v>191</v>
      </c>
      <c r="H108" s="84">
        <v>0</v>
      </c>
      <c r="I108" s="24"/>
      <c r="J108" s="31">
        <v>2</v>
      </c>
      <c r="K108" s="31">
        <f>5+10</f>
        <v>15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6</v>
      </c>
      <c r="E109" s="31">
        <f>6+4+5+5+3+7</f>
        <v>30</v>
      </c>
      <c r="F109" s="31">
        <v>6</v>
      </c>
      <c r="G109" s="31">
        <f>6+4+5+5+3+7</f>
        <v>30</v>
      </c>
      <c r="H109" s="84">
        <v>0</v>
      </c>
      <c r="I109" s="24"/>
      <c r="J109" s="31">
        <v>1</v>
      </c>
      <c r="K109" s="31">
        <f>6</f>
        <v>6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3</v>
      </c>
      <c r="E110" s="31">
        <f>1.8+1.8+1.8</f>
        <v>5.4</v>
      </c>
      <c r="F110" s="31">
        <v>3</v>
      </c>
      <c r="G110" s="31">
        <v>5.4</v>
      </c>
      <c r="H110" s="84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1</v>
      </c>
      <c r="E111" s="31">
        <v>7.5</v>
      </c>
      <c r="F111" s="31">
        <v>1</v>
      </c>
      <c r="G111" s="31">
        <v>7.5</v>
      </c>
      <c r="H111" s="84">
        <v>0</v>
      </c>
      <c r="I111" s="24"/>
      <c r="J111" s="31"/>
      <c r="K111" s="31"/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/>
      <c r="E112" s="31"/>
      <c r="F112" s="31"/>
      <c r="G112" s="31"/>
      <c r="H112" s="84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/>
      <c r="E113" s="31"/>
      <c r="F113" s="31"/>
      <c r="G113" s="31"/>
      <c r="H113" s="84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4</v>
      </c>
      <c r="E114" s="31">
        <f>5+5+13.5+7.3</f>
        <v>30.8</v>
      </c>
      <c r="F114" s="31">
        <v>4</v>
      </c>
      <c r="G114" s="31">
        <v>30.8</v>
      </c>
      <c r="H114" s="84">
        <v>0</v>
      </c>
      <c r="I114" s="24"/>
      <c r="J114" s="31"/>
      <c r="K114" s="31"/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1</v>
      </c>
      <c r="E115" s="31">
        <v>4</v>
      </c>
      <c r="F115" s="31">
        <v>1</v>
      </c>
      <c r="G115" s="31">
        <v>4</v>
      </c>
      <c r="H115" s="84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84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84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80"/>
      <c r="E118" s="80"/>
      <c r="F118" s="80"/>
      <c r="G118" s="80"/>
      <c r="H118" s="84">
        <v>0</v>
      </c>
      <c r="I118" s="24"/>
      <c r="J118" s="31"/>
      <c r="K118" s="31"/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80">
        <v>2</v>
      </c>
      <c r="E119" s="80">
        <f>7.5+6</f>
        <v>13.5</v>
      </c>
      <c r="F119" s="80">
        <v>2</v>
      </c>
      <c r="G119" s="80">
        <f>7.5+6</f>
        <v>13.5</v>
      </c>
      <c r="H119" s="84">
        <v>0</v>
      </c>
      <c r="I119" s="24"/>
      <c r="J119" s="31"/>
      <c r="K119" s="31"/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80">
        <v>4</v>
      </c>
      <c r="E120" s="80">
        <f>3+5+7+15</f>
        <v>30</v>
      </c>
      <c r="F120" s="80">
        <v>4</v>
      </c>
      <c r="G120" s="80">
        <f>3+5+7+15</f>
        <v>30</v>
      </c>
      <c r="H120" s="84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80">
        <v>2</v>
      </c>
      <c r="E121" s="80">
        <f>2.5+5</f>
        <v>7.5</v>
      </c>
      <c r="F121" s="80">
        <v>2</v>
      </c>
      <c r="G121" s="80">
        <f>2.5+5</f>
        <v>7.5</v>
      </c>
      <c r="H121" s="84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80">
        <v>3</v>
      </c>
      <c r="E122" s="80">
        <f>8+10+1.8</f>
        <v>19.8</v>
      </c>
      <c r="F122" s="80">
        <v>3</v>
      </c>
      <c r="G122" s="80">
        <f>8+10+1.8</f>
        <v>19.8</v>
      </c>
      <c r="H122" s="84">
        <v>0</v>
      </c>
      <c r="I122" s="24"/>
      <c r="J122" s="80">
        <v>2</v>
      </c>
      <c r="K122" s="80">
        <f>8+10</f>
        <v>18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80">
        <v>3</v>
      </c>
      <c r="E123" s="80">
        <f>5+5+5</f>
        <v>15</v>
      </c>
      <c r="F123" s="80">
        <v>3</v>
      </c>
      <c r="G123" s="80">
        <v>15</v>
      </c>
      <c r="H123" s="84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80"/>
      <c r="E124" s="80"/>
      <c r="F124" s="80"/>
      <c r="G124" s="80"/>
      <c r="H124" s="84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80">
        <v>1</v>
      </c>
      <c r="E125" s="80">
        <v>1.8</v>
      </c>
      <c r="F125" s="80">
        <v>1</v>
      </c>
      <c r="G125" s="80">
        <v>1.8</v>
      </c>
      <c r="H125" s="84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80">
        <v>5</v>
      </c>
      <c r="E126" s="80">
        <f>15+14+13+10+7</f>
        <v>59</v>
      </c>
      <c r="F126" s="80">
        <v>5</v>
      </c>
      <c r="G126" s="80">
        <f>15+14+13+10+7</f>
        <v>59</v>
      </c>
      <c r="H126" s="84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80">
        <v>4</v>
      </c>
      <c r="E127" s="80">
        <f>3+5+10+10</f>
        <v>28</v>
      </c>
      <c r="F127" s="80">
        <v>4</v>
      </c>
      <c r="G127" s="80">
        <f>3+5+10+10</f>
        <v>28</v>
      </c>
      <c r="H127" s="84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80">
        <v>2</v>
      </c>
      <c r="E128" s="80">
        <f>12+7</f>
        <v>19</v>
      </c>
      <c r="F128" s="80">
        <v>2</v>
      </c>
      <c r="G128" s="80">
        <f>12+7</f>
        <v>19</v>
      </c>
      <c r="H128" s="84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80">
        <v>1</v>
      </c>
      <c r="E129" s="80">
        <v>3</v>
      </c>
      <c r="F129" s="80">
        <v>1</v>
      </c>
      <c r="G129" s="80">
        <v>3</v>
      </c>
      <c r="H129" s="84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80"/>
      <c r="E130" s="80"/>
      <c r="F130" s="80"/>
      <c r="G130" s="80"/>
      <c r="H130" s="84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80"/>
      <c r="E131" s="80"/>
      <c r="F131" s="80"/>
      <c r="G131" s="80"/>
      <c r="H131" s="84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80">
        <v>2</v>
      </c>
      <c r="E132" s="80">
        <f>3+10</f>
        <v>13</v>
      </c>
      <c r="F132" s="80">
        <v>2</v>
      </c>
      <c r="G132" s="80">
        <f>3+10</f>
        <v>13</v>
      </c>
      <c r="H132" s="84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80">
        <v>1</v>
      </c>
      <c r="E133" s="80">
        <v>15</v>
      </c>
      <c r="F133" s="80">
        <v>1</v>
      </c>
      <c r="G133" s="80">
        <v>15</v>
      </c>
      <c r="H133" s="84">
        <v>0</v>
      </c>
      <c r="I133" s="24"/>
      <c r="J133" s="31"/>
      <c r="K133" s="31"/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80"/>
      <c r="E134" s="80"/>
      <c r="F134" s="80"/>
      <c r="G134" s="80"/>
      <c r="H134" s="84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81"/>
      <c r="E135" s="81"/>
      <c r="F135" s="81"/>
      <c r="G135" s="81"/>
      <c r="H135" s="84">
        <v>0</v>
      </c>
      <c r="I135" s="61"/>
      <c r="J135" s="61"/>
      <c r="K135" s="6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80"/>
      <c r="E136" s="80"/>
      <c r="F136" s="80"/>
      <c r="G136" s="80"/>
      <c r="H136" s="84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80"/>
      <c r="E137" s="80"/>
      <c r="F137" s="80"/>
      <c r="G137" s="80"/>
      <c r="H137" s="84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80"/>
      <c r="E138" s="80"/>
      <c r="F138" s="80"/>
      <c r="G138" s="80"/>
      <c r="H138" s="84">
        <v>0</v>
      </c>
      <c r="I138" s="24"/>
      <c r="J138" s="31"/>
      <c r="K138" s="31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80">
        <v>9</v>
      </c>
      <c r="E139" s="80">
        <f>8+14+13+3+5+12+5+5+5</f>
        <v>70</v>
      </c>
      <c r="F139" s="80">
        <v>9</v>
      </c>
      <c r="G139" s="80">
        <f>8+14+13+3+5+12+5+5+5</f>
        <v>70</v>
      </c>
      <c r="H139" s="84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80">
        <v>3</v>
      </c>
      <c r="E140" s="80">
        <f>12+3+15</f>
        <v>30</v>
      </c>
      <c r="F140" s="80">
        <v>3</v>
      </c>
      <c r="G140" s="80">
        <v>30</v>
      </c>
      <c r="H140" s="84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80"/>
      <c r="E141" s="80"/>
      <c r="F141" s="80"/>
      <c r="G141" s="80"/>
      <c r="H141" s="84">
        <v>0</v>
      </c>
      <c r="I141" s="24"/>
      <c r="J141" s="31"/>
      <c r="K141" s="31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80">
        <v>3</v>
      </c>
      <c r="E142" s="80">
        <f>14+12+8</f>
        <v>34</v>
      </c>
      <c r="F142" s="80">
        <v>3</v>
      </c>
      <c r="G142" s="80">
        <f>14+12+8</f>
        <v>34</v>
      </c>
      <c r="H142" s="84">
        <v>0</v>
      </c>
      <c r="I142" s="24"/>
      <c r="J142" s="31"/>
      <c r="K142" s="31"/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80">
        <v>1</v>
      </c>
      <c r="E143" s="80">
        <v>12</v>
      </c>
      <c r="F143" s="80">
        <v>1</v>
      </c>
      <c r="G143" s="80">
        <v>12</v>
      </c>
      <c r="H143" s="84">
        <v>0</v>
      </c>
      <c r="I143" s="24"/>
      <c r="J143" s="31"/>
      <c r="K143" s="31"/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80">
        <v>9</v>
      </c>
      <c r="E144" s="80">
        <f>2+4.2+13+2.5+5+2.5+2.5+2.5+3</f>
        <v>37.200000000000003</v>
      </c>
      <c r="F144" s="80">
        <v>9</v>
      </c>
      <c r="G144" s="80">
        <v>37.200000000000003</v>
      </c>
      <c r="H144" s="84">
        <v>0</v>
      </c>
      <c r="I144" s="24"/>
      <c r="J144" s="31"/>
      <c r="K144" s="31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80">
        <v>2</v>
      </c>
      <c r="E145" s="80">
        <f>5+6</f>
        <v>11</v>
      </c>
      <c r="F145" s="80">
        <v>2</v>
      </c>
      <c r="G145" s="80">
        <f>5+6</f>
        <v>11</v>
      </c>
      <c r="H145" s="84">
        <v>0</v>
      </c>
      <c r="I145" s="24"/>
      <c r="J145" s="31">
        <v>1</v>
      </c>
      <c r="K145" s="31">
        <v>5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80">
        <v>2</v>
      </c>
      <c r="E146" s="80">
        <f>3+3</f>
        <v>6</v>
      </c>
      <c r="F146" s="80">
        <v>2</v>
      </c>
      <c r="G146" s="80">
        <f>3+3</f>
        <v>6</v>
      </c>
      <c r="H146" s="84">
        <v>0</v>
      </c>
      <c r="I146" s="24"/>
      <c r="J146" s="31"/>
      <c r="K146" s="31"/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81">
        <v>7</v>
      </c>
      <c r="E147" s="81">
        <f>14.5+5+13+10+5+10+4</f>
        <v>61.5</v>
      </c>
      <c r="F147" s="81">
        <v>7</v>
      </c>
      <c r="G147" s="81">
        <v>61.5</v>
      </c>
      <c r="H147" s="84">
        <v>0</v>
      </c>
      <c r="I147" s="61"/>
      <c r="J147" s="61"/>
      <c r="K147" s="61"/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80">
        <v>1</v>
      </c>
      <c r="E148" s="80">
        <v>3</v>
      </c>
      <c r="F148" s="80">
        <v>1</v>
      </c>
      <c r="G148" s="80">
        <v>3</v>
      </c>
      <c r="H148" s="84">
        <v>0</v>
      </c>
      <c r="I148" s="24"/>
      <c r="J148" s="31"/>
      <c r="K148" s="31"/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80"/>
      <c r="E149" s="80"/>
      <c r="F149" s="80"/>
      <c r="G149" s="80"/>
      <c r="H149" s="84">
        <v>0</v>
      </c>
      <c r="I149" s="24"/>
      <c r="J149" s="31"/>
      <c r="K149" s="31"/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80">
        <f>SUM(D101:D149)</f>
        <v>161</v>
      </c>
      <c r="E150" s="80">
        <f t="shared" ref="E150:Q150" si="2">SUM(E101:E149)</f>
        <v>1552.5</v>
      </c>
      <c r="F150" s="80">
        <f t="shared" si="2"/>
        <v>161</v>
      </c>
      <c r="G150" s="80">
        <f t="shared" si="2"/>
        <v>1552.5</v>
      </c>
      <c r="H150" s="80">
        <f t="shared" si="2"/>
        <v>0</v>
      </c>
      <c r="I150" s="80">
        <f t="shared" si="2"/>
        <v>0</v>
      </c>
      <c r="J150" s="80">
        <f t="shared" si="2"/>
        <v>9</v>
      </c>
      <c r="K150" s="80">
        <f t="shared" si="2"/>
        <v>64</v>
      </c>
      <c r="L150" s="80">
        <f t="shared" si="2"/>
        <v>0</v>
      </c>
      <c r="M150" s="80">
        <f t="shared" si="2"/>
        <v>0</v>
      </c>
      <c r="N150" s="80">
        <f t="shared" si="2"/>
        <v>0</v>
      </c>
      <c r="O150" s="80">
        <f t="shared" si="2"/>
        <v>0</v>
      </c>
      <c r="P150" s="80">
        <f t="shared" si="2"/>
        <v>0</v>
      </c>
      <c r="Q150" s="80">
        <f t="shared" si="2"/>
        <v>0</v>
      </c>
    </row>
    <row r="151" spans="1:17" ht="15" x14ac:dyDescent="0.25">
      <c r="A151" s="18"/>
      <c r="B151" s="18"/>
      <c r="C151" s="63" t="s">
        <v>250</v>
      </c>
      <c r="D151" s="31"/>
      <c r="E151" s="31"/>
      <c r="F151" s="31"/>
      <c r="G151" s="31"/>
      <c r="H151" s="84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8</v>
      </c>
      <c r="E152" s="31">
        <f>5+4+10+5+5+15+5+6</f>
        <v>55</v>
      </c>
      <c r="F152" s="31">
        <v>8</v>
      </c>
      <c r="G152" s="31">
        <v>55</v>
      </c>
      <c r="H152" s="84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1</v>
      </c>
      <c r="E153" s="31">
        <v>10</v>
      </c>
      <c r="F153" s="31">
        <v>1</v>
      </c>
      <c r="G153" s="31">
        <v>10</v>
      </c>
      <c r="H153" s="84">
        <v>0</v>
      </c>
      <c r="I153" s="24"/>
      <c r="J153" s="31"/>
      <c r="K153" s="31"/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347</v>
      </c>
      <c r="D154" s="31"/>
      <c r="E154" s="31"/>
      <c r="F154" s="31"/>
      <c r="G154" s="31"/>
      <c r="H154" s="84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/>
      <c r="E155" s="31"/>
      <c r="F155" s="31"/>
      <c r="G155" s="31"/>
      <c r="H155" s="84">
        <v>0</v>
      </c>
      <c r="I155" s="24"/>
      <c r="J155" s="31"/>
      <c r="K155" s="31"/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/>
      <c r="E156" s="31"/>
      <c r="F156" s="31"/>
      <c r="G156" s="31"/>
      <c r="H156" s="84">
        <v>0</v>
      </c>
      <c r="I156" s="24"/>
      <c r="J156" s="31"/>
      <c r="K156" s="31"/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84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61"/>
      <c r="E158" s="61"/>
      <c r="F158" s="61"/>
      <c r="G158" s="61"/>
      <c r="H158" s="84">
        <v>0</v>
      </c>
      <c r="I158" s="61"/>
      <c r="J158" s="61"/>
      <c r="K158" s="6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/>
      <c r="E159" s="31"/>
      <c r="F159" s="31"/>
      <c r="G159" s="31"/>
      <c r="H159" s="84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84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/>
      <c r="E161" s="31"/>
      <c r="F161" s="31"/>
      <c r="G161" s="31"/>
      <c r="H161" s="84">
        <v>0</v>
      </c>
      <c r="I161" s="24"/>
      <c r="J161" s="31"/>
      <c r="K161" s="31"/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84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84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1</v>
      </c>
      <c r="E164" s="31">
        <v>11</v>
      </c>
      <c r="F164" s="31">
        <v>1</v>
      </c>
      <c r="G164" s="31">
        <v>11</v>
      </c>
      <c r="H164" s="84">
        <v>0</v>
      </c>
      <c r="I164" s="24"/>
      <c r="J164" s="31"/>
      <c r="K164" s="31"/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348</v>
      </c>
      <c r="D165" s="31"/>
      <c r="E165" s="31"/>
      <c r="F165" s="31"/>
      <c r="G165" s="31"/>
      <c r="H165" s="84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5</v>
      </c>
      <c r="E166" s="31">
        <f>5+15+8+8+10</f>
        <v>46</v>
      </c>
      <c r="F166" s="31">
        <v>5</v>
      </c>
      <c r="G166" s="31">
        <v>46</v>
      </c>
      <c r="H166" s="84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2</v>
      </c>
      <c r="E167" s="31">
        <f>6+10</f>
        <v>16</v>
      </c>
      <c r="F167" s="31">
        <v>2</v>
      </c>
      <c r="G167" s="31">
        <f>6+10</f>
        <v>16</v>
      </c>
      <c r="H167" s="84">
        <v>0</v>
      </c>
      <c r="I167" s="24"/>
      <c r="J167" s="31"/>
      <c r="K167" s="31"/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/>
      <c r="E168" s="31"/>
      <c r="F168" s="31"/>
      <c r="G168" s="31"/>
      <c r="H168" s="84">
        <v>0</v>
      </c>
      <c r="I168" s="24"/>
      <c r="J168" s="31"/>
      <c r="K168" s="31"/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1</v>
      </c>
      <c r="E169" s="31">
        <v>10</v>
      </c>
      <c r="F169" s="31">
        <v>1</v>
      </c>
      <c r="G169" s="31">
        <v>10</v>
      </c>
      <c r="H169" s="84">
        <v>0</v>
      </c>
      <c r="I169" s="24"/>
      <c r="J169" s="31"/>
      <c r="K169" s="31"/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61"/>
      <c r="E170" s="61"/>
      <c r="F170" s="61"/>
      <c r="G170" s="61"/>
      <c r="H170" s="84">
        <v>0</v>
      </c>
      <c r="I170" s="61"/>
      <c r="J170" s="61"/>
      <c r="K170" s="61"/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8</v>
      </c>
      <c r="E171" s="31">
        <f>5+5+5+3+3+3+15+5</f>
        <v>44</v>
      </c>
      <c r="F171" s="31">
        <v>8</v>
      </c>
      <c r="G171" s="31">
        <v>44</v>
      </c>
      <c r="H171" s="84">
        <v>0</v>
      </c>
      <c r="I171" s="61"/>
      <c r="J171" s="31">
        <v>1</v>
      </c>
      <c r="K171" s="31">
        <v>5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/>
      <c r="E172" s="31"/>
      <c r="F172" s="31"/>
      <c r="G172" s="31"/>
      <c r="H172" s="84">
        <v>0</v>
      </c>
      <c r="I172" s="61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349</v>
      </c>
      <c r="D173" s="31"/>
      <c r="E173" s="31"/>
      <c r="F173" s="31"/>
      <c r="G173" s="31"/>
      <c r="H173" s="84">
        <v>0</v>
      </c>
      <c r="I173" s="61"/>
      <c r="J173" s="31"/>
      <c r="K173" s="31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84">
        <v>0</v>
      </c>
      <c r="I174" s="61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350</v>
      </c>
      <c r="D175" s="31">
        <v>5</v>
      </c>
      <c r="E175" s="31">
        <f>15+10+15+15+10</f>
        <v>65</v>
      </c>
      <c r="F175" s="31">
        <v>5</v>
      </c>
      <c r="G175" s="31">
        <v>65</v>
      </c>
      <c r="H175" s="84">
        <v>0</v>
      </c>
      <c r="I175" s="61"/>
      <c r="J175" s="31"/>
      <c r="K175" s="31"/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1</v>
      </c>
      <c r="E176" s="31">
        <f>8</f>
        <v>8</v>
      </c>
      <c r="F176" s="31">
        <v>1</v>
      </c>
      <c r="G176" s="31">
        <f>8</f>
        <v>8</v>
      </c>
      <c r="H176" s="84">
        <v>0</v>
      </c>
      <c r="I176" s="61"/>
      <c r="J176" s="31">
        <v>1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/>
      <c r="E177" s="31"/>
      <c r="F177" s="31"/>
      <c r="G177" s="31"/>
      <c r="H177" s="84">
        <v>0</v>
      </c>
      <c r="I177" s="61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84">
        <v>0</v>
      </c>
      <c r="I178" s="61"/>
      <c r="J178" s="31"/>
      <c r="K178" s="31"/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2</v>
      </c>
      <c r="E179" s="31">
        <f>15+12</f>
        <v>27</v>
      </c>
      <c r="F179" s="31">
        <v>2</v>
      </c>
      <c r="G179" s="31">
        <f>15+12</f>
        <v>27</v>
      </c>
      <c r="H179" s="84">
        <v>0</v>
      </c>
      <c r="I179" s="61"/>
      <c r="J179" s="31">
        <v>1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84">
        <v>0</v>
      </c>
      <c r="I180" s="61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8</v>
      </c>
      <c r="E181" s="31">
        <f>15+4+10+8+8+15+15+8</f>
        <v>83</v>
      </c>
      <c r="F181" s="31">
        <v>8</v>
      </c>
      <c r="G181" s="31">
        <v>83</v>
      </c>
      <c r="H181" s="84">
        <v>0</v>
      </c>
      <c r="I181" s="61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45</v>
      </c>
      <c r="E182" s="31">
        <f t="shared" ref="E182:Q182" si="3">SUM(E152:E181)</f>
        <v>407</v>
      </c>
      <c r="F182" s="31">
        <f t="shared" si="3"/>
        <v>45</v>
      </c>
      <c r="G182" s="31">
        <f t="shared" si="3"/>
        <v>407</v>
      </c>
      <c r="H182" s="31">
        <f t="shared" si="3"/>
        <v>0</v>
      </c>
      <c r="I182" s="31">
        <f t="shared" si="3"/>
        <v>0</v>
      </c>
      <c r="J182" s="31">
        <f t="shared" si="3"/>
        <v>3</v>
      </c>
      <c r="K182" s="31">
        <f t="shared" si="3"/>
        <v>28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84">
        <v>0</v>
      </c>
      <c r="I183" s="61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31">
        <v>1</v>
      </c>
      <c r="E184" s="31">
        <v>8</v>
      </c>
      <c r="F184" s="31">
        <v>1</v>
      </c>
      <c r="G184" s="31">
        <v>8</v>
      </c>
      <c r="H184" s="84">
        <v>0</v>
      </c>
      <c r="I184" s="61"/>
      <c r="J184" s="31"/>
      <c r="K184" s="31"/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31"/>
      <c r="E185" s="31"/>
      <c r="F185" s="31"/>
      <c r="G185" s="31"/>
      <c r="H185" s="84">
        <v>0</v>
      </c>
      <c r="I185" s="61"/>
      <c r="J185" s="31"/>
      <c r="K185" s="31"/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/>
      <c r="E186" s="31"/>
      <c r="F186" s="31"/>
      <c r="G186" s="31"/>
      <c r="H186" s="84">
        <v>0</v>
      </c>
      <c r="I186" s="61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/>
      <c r="E187" s="31"/>
      <c r="F187" s="31"/>
      <c r="G187" s="31"/>
      <c r="H187" s="84">
        <v>0</v>
      </c>
      <c r="I187" s="61"/>
      <c r="J187" s="31"/>
      <c r="K187" s="31"/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/>
      <c r="E188" s="31"/>
      <c r="F188" s="31"/>
      <c r="G188" s="31"/>
      <c r="H188" s="84">
        <v>0</v>
      </c>
      <c r="I188" s="61"/>
      <c r="J188" s="31"/>
      <c r="K188" s="31"/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/>
      <c r="E189" s="31"/>
      <c r="F189" s="31"/>
      <c r="G189" s="31"/>
      <c r="H189" s="84">
        <v>0</v>
      </c>
      <c r="I189" s="61"/>
      <c r="J189" s="31"/>
      <c r="K189" s="31"/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/>
      <c r="E190" s="31"/>
      <c r="F190" s="31"/>
      <c r="G190" s="31"/>
      <c r="H190" s="84">
        <v>0</v>
      </c>
      <c r="I190" s="61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/>
      <c r="E191" s="31"/>
      <c r="F191" s="31"/>
      <c r="G191" s="31"/>
      <c r="H191" s="84">
        <v>0</v>
      </c>
      <c r="I191" s="61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1</v>
      </c>
      <c r="E192" s="31">
        <f t="shared" ref="E192:J192" si="4">SUM(E184:E191)</f>
        <v>8</v>
      </c>
      <c r="F192" s="31">
        <f t="shared" si="4"/>
        <v>1</v>
      </c>
      <c r="G192" s="31">
        <f t="shared" si="4"/>
        <v>8</v>
      </c>
      <c r="H192" s="84">
        <v>0</v>
      </c>
      <c r="I192" s="31">
        <f t="shared" si="4"/>
        <v>0</v>
      </c>
      <c r="J192" s="31">
        <f t="shared" si="4"/>
        <v>0</v>
      </c>
      <c r="K192" s="31"/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84">
        <v>0</v>
      </c>
      <c r="I193" s="61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2</v>
      </c>
      <c r="E194" s="31">
        <f>15+7</f>
        <v>22</v>
      </c>
      <c r="F194" s="31">
        <v>2</v>
      </c>
      <c r="G194" s="31">
        <v>22</v>
      </c>
      <c r="H194" s="84">
        <v>0</v>
      </c>
      <c r="I194" s="61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/>
      <c r="E195" s="31"/>
      <c r="F195" s="31"/>
      <c r="G195" s="31"/>
      <c r="H195" s="84">
        <v>0</v>
      </c>
      <c r="I195" s="61"/>
      <c r="J195" s="31"/>
      <c r="K195" s="31"/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1</v>
      </c>
      <c r="E196" s="31">
        <v>30</v>
      </c>
      <c r="F196" s="31">
        <v>1</v>
      </c>
      <c r="G196" s="31">
        <v>30</v>
      </c>
      <c r="H196" s="84">
        <v>0</v>
      </c>
      <c r="I196" s="61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/>
      <c r="E197" s="31"/>
      <c r="F197" s="31"/>
      <c r="G197" s="31"/>
      <c r="H197" s="84">
        <v>0</v>
      </c>
      <c r="I197" s="61"/>
      <c r="J197" s="31"/>
      <c r="K197" s="31"/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154</v>
      </c>
      <c r="D198" s="31">
        <v>1</v>
      </c>
      <c r="E198" s="31">
        <v>15</v>
      </c>
      <c r="F198" s="31">
        <v>1</v>
      </c>
      <c r="G198" s="31">
        <v>15</v>
      </c>
      <c r="H198" s="84">
        <v>0</v>
      </c>
      <c r="I198" s="61"/>
      <c r="J198" s="31"/>
      <c r="K198" s="31"/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264</v>
      </c>
      <c r="D199" s="31">
        <v>3</v>
      </c>
      <c r="E199" s="31">
        <f>15+10+3</f>
        <v>28</v>
      </c>
      <c r="F199" s="31">
        <v>3</v>
      </c>
      <c r="G199" s="31">
        <f>15+10+3</f>
        <v>28</v>
      </c>
      <c r="H199" s="84">
        <v>0</v>
      </c>
      <c r="I199" s="61"/>
      <c r="J199" s="31"/>
      <c r="K199" s="31"/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18"/>
      <c r="C200" s="59" t="s">
        <v>30</v>
      </c>
      <c r="D200" s="31">
        <f>SUM(D194:D199)</f>
        <v>7</v>
      </c>
      <c r="E200" s="31">
        <f t="shared" ref="E200:J200" si="5">SUM(E194:E199)</f>
        <v>95</v>
      </c>
      <c r="F200" s="31">
        <f t="shared" si="5"/>
        <v>7</v>
      </c>
      <c r="G200" s="31">
        <f t="shared" si="5"/>
        <v>95</v>
      </c>
      <c r="H200" s="84">
        <v>0</v>
      </c>
      <c r="I200" s="31">
        <f t="shared" si="5"/>
        <v>0</v>
      </c>
      <c r="J200" s="31">
        <f t="shared" si="5"/>
        <v>0</v>
      </c>
      <c r="K200" s="31"/>
      <c r="L200" s="8"/>
      <c r="M200" s="8"/>
      <c r="N200" s="8"/>
      <c r="O200" s="8"/>
      <c r="P200" s="8"/>
      <c r="Q200" s="8"/>
    </row>
    <row r="201" spans="1:17" ht="15" x14ac:dyDescent="0.25">
      <c r="A201" s="18"/>
      <c r="B201" s="18"/>
      <c r="C201" s="51" t="s">
        <v>305</v>
      </c>
      <c r="D201" s="31"/>
      <c r="E201" s="31"/>
      <c r="F201" s="31"/>
      <c r="G201" s="31"/>
      <c r="H201" s="84">
        <v>0</v>
      </c>
      <c r="I201" s="61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266</v>
      </c>
      <c r="D202" s="31"/>
      <c r="E202" s="31"/>
      <c r="F202" s="31"/>
      <c r="G202" s="31"/>
      <c r="H202" s="84">
        <v>0</v>
      </c>
      <c r="I202" s="61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0" t="s">
        <v>267</v>
      </c>
      <c r="D203" s="31"/>
      <c r="E203" s="31"/>
      <c r="F203" s="31"/>
      <c r="G203" s="31"/>
      <c r="H203" s="84">
        <v>0</v>
      </c>
      <c r="I203" s="61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7" t="s">
        <v>268</v>
      </c>
      <c r="D204" s="31"/>
      <c r="E204" s="31"/>
      <c r="F204" s="31"/>
      <c r="G204" s="31"/>
      <c r="H204" s="84">
        <v>0</v>
      </c>
      <c r="I204" s="61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269</v>
      </c>
      <c r="D205" s="31"/>
      <c r="E205" s="31"/>
      <c r="F205" s="31"/>
      <c r="G205" s="31"/>
      <c r="H205" s="84">
        <v>0</v>
      </c>
      <c r="I205" s="61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270</v>
      </c>
      <c r="D206" s="31">
        <v>14</v>
      </c>
      <c r="E206" s="31">
        <f>5+7.4+10+25+5+10+15+3+10+5+7.5+5+15+5</f>
        <v>127.9</v>
      </c>
      <c r="F206" s="31">
        <v>14</v>
      </c>
      <c r="G206" s="31">
        <v>127.9</v>
      </c>
      <c r="H206" s="84">
        <v>0</v>
      </c>
      <c r="I206" s="61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271</v>
      </c>
      <c r="D207" s="31">
        <v>4</v>
      </c>
      <c r="E207" s="31">
        <f>10+5+5+5</f>
        <v>25</v>
      </c>
      <c r="F207" s="31">
        <v>4</v>
      </c>
      <c r="G207" s="31">
        <f>10+5+5+5</f>
        <v>25</v>
      </c>
      <c r="H207" s="84">
        <v>0</v>
      </c>
      <c r="I207" s="61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272</v>
      </c>
      <c r="D208" s="31">
        <v>2</v>
      </c>
      <c r="E208" s="31">
        <f>7.5+3</f>
        <v>10.5</v>
      </c>
      <c r="F208" s="31">
        <v>2</v>
      </c>
      <c r="G208" s="31">
        <f>7.5+3</f>
        <v>10.5</v>
      </c>
      <c r="H208" s="84">
        <v>0</v>
      </c>
      <c r="I208" s="61"/>
      <c r="J208" s="31"/>
      <c r="K208" s="31"/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273</v>
      </c>
      <c r="D209" s="31">
        <v>2</v>
      </c>
      <c r="E209" s="31">
        <f>13+15</f>
        <v>28</v>
      </c>
      <c r="F209" s="31">
        <v>2</v>
      </c>
      <c r="G209" s="31">
        <f>13+15</f>
        <v>28</v>
      </c>
      <c r="H209" s="84">
        <v>0</v>
      </c>
      <c r="I209" s="61"/>
      <c r="J209" s="31"/>
      <c r="K209" s="31"/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274</v>
      </c>
      <c r="D210" s="31"/>
      <c r="E210" s="31"/>
      <c r="F210" s="31"/>
      <c r="G210" s="31"/>
      <c r="H210" s="84">
        <v>0</v>
      </c>
      <c r="I210" s="61"/>
      <c r="J210" s="31"/>
      <c r="K210" s="31"/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275</v>
      </c>
      <c r="D211" s="31">
        <v>1</v>
      </c>
      <c r="E211" s="31">
        <v>15</v>
      </c>
      <c r="F211" s="31">
        <v>1</v>
      </c>
      <c r="G211" s="31">
        <v>15</v>
      </c>
      <c r="H211" s="84">
        <v>0</v>
      </c>
      <c r="I211" s="61"/>
      <c r="J211" s="31"/>
      <c r="K211" s="31"/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276</v>
      </c>
      <c r="D212" s="31">
        <v>2</v>
      </c>
      <c r="E212" s="31">
        <f>20+10</f>
        <v>30</v>
      </c>
      <c r="F212" s="31">
        <v>2</v>
      </c>
      <c r="G212" s="31">
        <f>20+10</f>
        <v>30</v>
      </c>
      <c r="H212" s="84">
        <v>0</v>
      </c>
      <c r="I212" s="61"/>
      <c r="J212" s="31"/>
      <c r="K212" s="31"/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277</v>
      </c>
      <c r="D213" s="31"/>
      <c r="E213" s="31"/>
      <c r="F213" s="31"/>
      <c r="G213" s="31"/>
      <c r="H213" s="84">
        <v>0</v>
      </c>
      <c r="I213" s="61"/>
      <c r="J213" s="31"/>
      <c r="K213" s="31"/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278</v>
      </c>
      <c r="D214" s="31">
        <v>1</v>
      </c>
      <c r="E214" s="31">
        <v>20</v>
      </c>
      <c r="F214" s="31">
        <v>1</v>
      </c>
      <c r="G214" s="31">
        <v>20</v>
      </c>
      <c r="H214" s="84">
        <v>0</v>
      </c>
      <c r="I214" s="61"/>
      <c r="J214" s="31"/>
      <c r="K214" s="31"/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279</v>
      </c>
      <c r="D215" s="31">
        <v>1</v>
      </c>
      <c r="E215" s="31">
        <v>3</v>
      </c>
      <c r="F215" s="31">
        <v>1</v>
      </c>
      <c r="G215" s="31">
        <v>3</v>
      </c>
      <c r="H215" s="84">
        <v>0</v>
      </c>
      <c r="I215" s="61"/>
      <c r="J215" s="31"/>
      <c r="K215" s="31"/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280</v>
      </c>
      <c r="D216" s="31">
        <v>1</v>
      </c>
      <c r="E216" s="31">
        <v>15</v>
      </c>
      <c r="F216" s="31">
        <v>1</v>
      </c>
      <c r="G216" s="31">
        <v>15</v>
      </c>
      <c r="H216" s="84">
        <v>0</v>
      </c>
      <c r="I216" s="61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281</v>
      </c>
      <c r="D217" s="31"/>
      <c r="E217" s="31"/>
      <c r="F217" s="31"/>
      <c r="G217" s="31"/>
      <c r="H217" s="84">
        <v>0</v>
      </c>
      <c r="I217" s="61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282</v>
      </c>
      <c r="D218" s="31"/>
      <c r="E218" s="31"/>
      <c r="F218" s="31"/>
      <c r="G218" s="31"/>
      <c r="H218" s="84">
        <v>0</v>
      </c>
      <c r="I218" s="61"/>
      <c r="J218" s="31"/>
      <c r="K218" s="31"/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283</v>
      </c>
      <c r="D219" s="31">
        <v>1</v>
      </c>
      <c r="E219" s="31">
        <f>45</f>
        <v>45</v>
      </c>
      <c r="F219" s="31">
        <v>1</v>
      </c>
      <c r="G219" s="31">
        <f>45</f>
        <v>45</v>
      </c>
      <c r="H219" s="84">
        <v>0</v>
      </c>
      <c r="I219" s="61"/>
      <c r="J219" s="31"/>
      <c r="K219" s="31"/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284</v>
      </c>
      <c r="D220" s="31">
        <v>1</v>
      </c>
      <c r="E220" s="31">
        <v>30</v>
      </c>
      <c r="F220" s="31">
        <v>1</v>
      </c>
      <c r="G220" s="31">
        <v>30</v>
      </c>
      <c r="H220" s="84">
        <v>0</v>
      </c>
      <c r="I220" s="61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285</v>
      </c>
      <c r="D221" s="31"/>
      <c r="E221" s="31"/>
      <c r="F221" s="31"/>
      <c r="G221" s="31"/>
      <c r="H221" s="84">
        <v>0</v>
      </c>
      <c r="I221" s="61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286</v>
      </c>
      <c r="D222" s="31">
        <v>5</v>
      </c>
      <c r="E222" s="31">
        <f>10+8+2+10+8</f>
        <v>38</v>
      </c>
      <c r="F222" s="31">
        <v>5</v>
      </c>
      <c r="G222" s="31">
        <f>10+8+2+10+8</f>
        <v>38</v>
      </c>
      <c r="H222" s="84">
        <v>0</v>
      </c>
      <c r="I222" s="61"/>
      <c r="J222" s="31">
        <v>1</v>
      </c>
      <c r="K222" s="31">
        <v>10</v>
      </c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287</v>
      </c>
      <c r="D223" s="31">
        <v>6</v>
      </c>
      <c r="E223" s="31">
        <f>14+10+10+10+10+6</f>
        <v>60</v>
      </c>
      <c r="F223" s="31">
        <v>6</v>
      </c>
      <c r="G223" s="31">
        <f>14+10+10+10+10+6</f>
        <v>60</v>
      </c>
      <c r="H223" s="84">
        <v>0</v>
      </c>
      <c r="I223" s="61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288</v>
      </c>
      <c r="D224" s="31">
        <v>1</v>
      </c>
      <c r="E224" s="31">
        <v>13</v>
      </c>
      <c r="F224" s="31">
        <v>1</v>
      </c>
      <c r="G224" s="31">
        <v>13</v>
      </c>
      <c r="H224" s="84">
        <v>0</v>
      </c>
      <c r="I224" s="61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289</v>
      </c>
      <c r="D225" s="31"/>
      <c r="E225" s="31"/>
      <c r="F225" s="31"/>
      <c r="G225" s="31"/>
      <c r="H225" s="84">
        <v>0</v>
      </c>
      <c r="I225" s="61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290</v>
      </c>
      <c r="D226" s="31"/>
      <c r="E226" s="31"/>
      <c r="F226" s="31"/>
      <c r="G226" s="31"/>
      <c r="H226" s="84">
        <v>0</v>
      </c>
      <c r="I226" s="61"/>
      <c r="J226" s="31"/>
      <c r="K226" s="31"/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291</v>
      </c>
      <c r="D227" s="31"/>
      <c r="E227" s="31"/>
      <c r="F227" s="31"/>
      <c r="G227" s="31"/>
      <c r="H227" s="84">
        <v>0</v>
      </c>
      <c r="I227" s="61"/>
      <c r="J227" s="31"/>
      <c r="K227" s="31"/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292</v>
      </c>
      <c r="D228" s="31">
        <v>1</v>
      </c>
      <c r="E228" s="31">
        <v>15</v>
      </c>
      <c r="F228" s="31">
        <v>1</v>
      </c>
      <c r="G228" s="31">
        <v>15</v>
      </c>
      <c r="H228" s="84">
        <v>0</v>
      </c>
      <c r="I228" s="61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293</v>
      </c>
      <c r="D229" s="31"/>
      <c r="E229" s="31"/>
      <c r="F229" s="31"/>
      <c r="G229" s="31"/>
      <c r="H229" s="84">
        <v>0</v>
      </c>
      <c r="I229" s="61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294</v>
      </c>
      <c r="D230" s="31"/>
      <c r="E230" s="31"/>
      <c r="F230" s="31"/>
      <c r="G230" s="31"/>
      <c r="H230" s="84">
        <v>0</v>
      </c>
      <c r="I230" s="61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295</v>
      </c>
      <c r="D231" s="31"/>
      <c r="E231" s="31"/>
      <c r="F231" s="31"/>
      <c r="G231" s="31"/>
      <c r="H231" s="84">
        <v>0</v>
      </c>
      <c r="I231" s="61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296</v>
      </c>
      <c r="D232" s="31">
        <v>2</v>
      </c>
      <c r="E232" s="31">
        <f>5+5</f>
        <v>10</v>
      </c>
      <c r="F232" s="31">
        <v>2</v>
      </c>
      <c r="G232" s="31">
        <v>10</v>
      </c>
      <c r="H232" s="84">
        <v>0</v>
      </c>
      <c r="I232" s="61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297</v>
      </c>
      <c r="D233" s="31"/>
      <c r="E233" s="31"/>
      <c r="F233" s="31"/>
      <c r="G233" s="31"/>
      <c r="H233" s="84">
        <v>0</v>
      </c>
      <c r="I233" s="61"/>
      <c r="J233" s="31"/>
      <c r="K233" s="31"/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298</v>
      </c>
      <c r="D234" s="31"/>
      <c r="E234" s="31"/>
      <c r="F234" s="31"/>
      <c r="G234" s="31"/>
      <c r="H234" s="84">
        <v>0</v>
      </c>
      <c r="I234" s="61"/>
      <c r="J234" s="31"/>
      <c r="K234" s="31"/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299</v>
      </c>
      <c r="D235" s="31"/>
      <c r="E235" s="31"/>
      <c r="F235" s="31"/>
      <c r="G235" s="31"/>
      <c r="H235" s="84">
        <v>0</v>
      </c>
      <c r="I235" s="61"/>
      <c r="J235" s="31"/>
      <c r="K235" s="31"/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300</v>
      </c>
      <c r="D236" s="31">
        <v>1</v>
      </c>
      <c r="E236" s="31">
        <v>15</v>
      </c>
      <c r="F236" s="31">
        <v>1</v>
      </c>
      <c r="G236" s="31">
        <v>15</v>
      </c>
      <c r="H236" s="84">
        <v>0</v>
      </c>
      <c r="I236" s="61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301</v>
      </c>
      <c r="D237" s="31"/>
      <c r="E237" s="31"/>
      <c r="F237" s="31"/>
      <c r="G237" s="31"/>
      <c r="H237" s="84">
        <v>0</v>
      </c>
      <c r="I237" s="61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302</v>
      </c>
      <c r="D238" s="31">
        <v>10</v>
      </c>
      <c r="E238" s="31">
        <f>15+10+10+10+3+8+8+8+8+80</f>
        <v>160</v>
      </c>
      <c r="F238" s="31">
        <v>10</v>
      </c>
      <c r="G238" s="31">
        <f>15+10+10+10+3+8+8+8+8+80</f>
        <v>160</v>
      </c>
      <c r="H238" s="84">
        <v>0</v>
      </c>
      <c r="I238" s="61"/>
      <c r="J238" s="31">
        <v>4</v>
      </c>
      <c r="K238" s="31">
        <f>10+15+10+10</f>
        <v>45</v>
      </c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303</v>
      </c>
      <c r="D239" s="31">
        <v>4</v>
      </c>
      <c r="E239" s="31">
        <f>10+9+5+6</f>
        <v>30</v>
      </c>
      <c r="F239" s="31">
        <v>4</v>
      </c>
      <c r="G239" s="31">
        <f>10+9+5+6</f>
        <v>30</v>
      </c>
      <c r="H239" s="84">
        <v>0</v>
      </c>
      <c r="I239" s="61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360</v>
      </c>
      <c r="D240" s="31">
        <v>1</v>
      </c>
      <c r="E240" s="31">
        <v>8</v>
      </c>
      <c r="F240" s="31">
        <v>1</v>
      </c>
      <c r="G240" s="31">
        <v>8</v>
      </c>
      <c r="H240" s="84">
        <v>0</v>
      </c>
      <c r="I240" s="61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304</v>
      </c>
      <c r="D241" s="31">
        <v>5</v>
      </c>
      <c r="E241" s="31">
        <f>8+10+20+10+15</f>
        <v>63</v>
      </c>
      <c r="F241" s="31">
        <v>5</v>
      </c>
      <c r="G241" s="31">
        <f>8+10+20+10+15</f>
        <v>63</v>
      </c>
      <c r="H241" s="84">
        <v>0</v>
      </c>
      <c r="I241" s="61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">
      <c r="A242" s="18"/>
      <c r="B242" s="18"/>
      <c r="C242" s="19" t="s">
        <v>30</v>
      </c>
      <c r="D242" s="31">
        <f>SUM(D202:D241)</f>
        <v>66</v>
      </c>
      <c r="E242" s="31">
        <f t="shared" ref="E242" si="6">SUM(E202:E241)</f>
        <v>761.4</v>
      </c>
      <c r="F242" s="31">
        <f t="shared" ref="F242:Q242" si="7">SUM(F202:F241)</f>
        <v>66</v>
      </c>
      <c r="G242" s="31">
        <f t="shared" si="7"/>
        <v>761.4</v>
      </c>
      <c r="H242" s="31">
        <f t="shared" si="7"/>
        <v>0</v>
      </c>
      <c r="I242" s="31">
        <f t="shared" si="7"/>
        <v>0</v>
      </c>
      <c r="J242" s="31">
        <f t="shared" si="7"/>
        <v>5</v>
      </c>
      <c r="K242" s="31">
        <f t="shared" si="7"/>
        <v>55</v>
      </c>
      <c r="L242" s="31">
        <f t="shared" si="7"/>
        <v>0</v>
      </c>
      <c r="M242" s="31">
        <f t="shared" si="7"/>
        <v>0</v>
      </c>
      <c r="N242" s="31">
        <f t="shared" si="7"/>
        <v>0</v>
      </c>
      <c r="O242" s="31">
        <f t="shared" si="7"/>
        <v>0</v>
      </c>
      <c r="P242" s="31">
        <f t="shared" si="7"/>
        <v>0</v>
      </c>
      <c r="Q242" s="31">
        <f t="shared" si="7"/>
        <v>0</v>
      </c>
    </row>
    <row r="243" spans="1:17" ht="25.5" customHeight="1" x14ac:dyDescent="0.2">
      <c r="A243" s="14"/>
      <c r="B243" s="15"/>
      <c r="C243" s="23" t="s">
        <v>119</v>
      </c>
      <c r="D243" s="36">
        <f t="shared" ref="D243:E243" si="8">SUM(D242+D200+D192+D182+D150+D99+D61)</f>
        <v>587</v>
      </c>
      <c r="E243" s="36">
        <f t="shared" si="8"/>
        <v>6139.0999999999995</v>
      </c>
      <c r="F243" s="36">
        <f t="shared" ref="F243:Q243" si="9">SUM(F242+F200+F192+F182+F150+F99+F61)</f>
        <v>587</v>
      </c>
      <c r="G243" s="36">
        <f t="shared" si="9"/>
        <v>6139.0999999999995</v>
      </c>
      <c r="H243" s="36">
        <f t="shared" si="9"/>
        <v>0</v>
      </c>
      <c r="I243" s="36">
        <f t="shared" si="9"/>
        <v>0</v>
      </c>
      <c r="J243" s="36">
        <f t="shared" si="9"/>
        <v>49</v>
      </c>
      <c r="K243" s="36">
        <f t="shared" si="9"/>
        <v>438.5</v>
      </c>
      <c r="L243" s="36">
        <f t="shared" si="9"/>
        <v>0</v>
      </c>
      <c r="M243" s="36">
        <f t="shared" si="9"/>
        <v>0</v>
      </c>
      <c r="N243" s="36">
        <f t="shared" si="9"/>
        <v>0</v>
      </c>
      <c r="O243" s="36">
        <f t="shared" si="9"/>
        <v>0</v>
      </c>
      <c r="P243" s="36">
        <f t="shared" si="9"/>
        <v>0</v>
      </c>
      <c r="Q243" s="36">
        <f t="shared" si="9"/>
        <v>0</v>
      </c>
    </row>
    <row r="244" spans="1:17" x14ac:dyDescent="0.2">
      <c r="A244" s="10" t="s">
        <v>10</v>
      </c>
      <c r="B244" s="62" t="s">
        <v>11</v>
      </c>
      <c r="D244" s="37">
        <f t="shared" ref="D244" si="10">SUM(D243:D243)</f>
        <v>587</v>
      </c>
      <c r="E244" s="38">
        <f t="shared" ref="E244" si="11">SUM(E243:E243)</f>
        <v>6139.0999999999995</v>
      </c>
      <c r="F244" s="38">
        <f t="shared" ref="F244:Q244" si="12">SUM(F243:F243)</f>
        <v>587</v>
      </c>
      <c r="G244" s="38">
        <f t="shared" si="12"/>
        <v>6139.0999999999995</v>
      </c>
      <c r="H244" s="38">
        <f t="shared" si="12"/>
        <v>0</v>
      </c>
      <c r="I244" s="38">
        <f t="shared" si="12"/>
        <v>0</v>
      </c>
      <c r="J244" s="38">
        <f t="shared" si="12"/>
        <v>49</v>
      </c>
      <c r="K244" s="38">
        <f t="shared" si="12"/>
        <v>438.5</v>
      </c>
      <c r="L244" s="38">
        <f t="shared" si="12"/>
        <v>0</v>
      </c>
      <c r="M244" s="38">
        <f t="shared" si="12"/>
        <v>0</v>
      </c>
      <c r="N244" s="38">
        <f t="shared" si="12"/>
        <v>0</v>
      </c>
      <c r="O244" s="38">
        <f t="shared" si="12"/>
        <v>0</v>
      </c>
      <c r="P244" s="38">
        <f t="shared" si="12"/>
        <v>0</v>
      </c>
      <c r="Q244" s="38">
        <f t="shared" si="12"/>
        <v>0</v>
      </c>
    </row>
  </sheetData>
  <autoFilter ref="C18:C244"/>
  <customSheetViews>
    <customSheetView guid="{BC21180C-85F6-44E9-8911-8FF77947F378}" scale="85" showAutoFilter="1" hiddenRows="1">
      <pane ySplit="16" topLeftCell="A227" activePane="bottomLeft" state="frozen"/>
      <selection pane="bottomLeft" activeCell="B254" sqref="B254"/>
      <pageMargins left="0.75" right="0.75" top="1" bottom="1" header="0.5" footer="0.5"/>
      <pageSetup paperSize="9" scale="90" orientation="landscape" r:id="rId1"/>
      <headerFooter alignWithMargins="0"/>
      <autoFilter ref="C18:C244"/>
    </customSheetView>
    <customSheetView guid="{A743F9C7-8B89-4E8F-B91F-1FFB859064F2}" scale="85" showAutoFilter="1" hiddenRows="1">
      <pane ySplit="16" topLeftCell="A17" activePane="bottomLeft" state="frozen"/>
      <selection pane="bottomLeft" activeCell="G20" sqref="G20:G26"/>
      <pageMargins left="0.75" right="0.75" top="1" bottom="1" header="0.5" footer="0.5"/>
      <pageSetup paperSize="9" scale="90" orientation="landscape" r:id="rId2"/>
      <headerFooter alignWithMargins="0"/>
      <autoFilter ref="C18:C244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C21180C-85F6-44E9-8911-8FF77947F37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C21180C-85F6-44E9-8911-8FF77947F37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BC21180C-85F6-44E9-8911-8FF77947F378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Ноябрь 2013г</vt:lpstr>
      <vt:lpstr>июнь 2014г</vt:lpstr>
      <vt:lpstr>июнь 2014г. по 6-10</vt:lpstr>
      <vt:lpstr>июнь 2014г. по 0,4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2014-07-21T11:25:51Z</dcterms:modified>
</cp:coreProperties>
</file>