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4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2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10121.xml" ContentType="application/vnd.openxmlformats-officedocument.spreadsheetml.revisionLog+xml"/>
  <Override PartName="/xl/revisions/revisionLog11321.xml" ContentType="application/vnd.openxmlformats-officedocument.spreadsheetml.revisionLog+xml"/>
  <Override PartName="/xl/revisions/revisionLog1121.xml" ContentType="application/vnd.openxmlformats-officedocument.spreadsheetml.revisionLog+xml"/>
  <Override PartName="/xl/revisions/revisionLog114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101211.xml" ContentType="application/vnd.openxmlformats-officedocument.spreadsheetml.revisionLog+xml"/>
  <Override PartName="/xl/revisions/revisionLog11313.xml" ContentType="application/vnd.openxmlformats-officedocument.spreadsheetml.revisionLog+xml"/>
  <Override PartName="/xl/revisions/revisionLog1261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141.xml" ContentType="application/vnd.openxmlformats-officedocument.spreadsheetml.revisionLog+xml"/>
  <Override PartName="/xl/revisions/revisionLog1122.xml" ContentType="application/vnd.openxmlformats-officedocument.spreadsheetml.revisionLog+xml"/>
  <Override PartName="/xl/revisions/revisionLog11221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53.xml" ContentType="application/vnd.openxmlformats-officedocument.spreadsheetml.revisionLog+xml"/>
  <Override PartName="/xl/revisions/revisionLog1151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431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211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131.xml" ContentType="application/vnd.openxmlformats-officedocument.spreadsheetml.revisionLog+xml"/>
  <Override PartName="/xl/revisions/revisionLog12311.xml" ContentType="application/vnd.openxmlformats-officedocument.spreadsheetml.revisionLog+xml"/>
  <Override PartName="/xl/revisions/revisionLog1172.xml" ContentType="application/vnd.openxmlformats-officedocument.spreadsheetml.revisionLog+xml"/>
  <Override PartName="/xl/revisions/revisionLog1161.xml" ContentType="application/vnd.openxmlformats-officedocument.spreadsheetml.revisionLog+xml"/>
  <Override PartName="/xl/revisions/revisionLog112211.xml" ContentType="application/vnd.openxmlformats-officedocument.spreadsheetml.revisionLog+xml"/>
  <Override PartName="/xl/revisions/revisionLog143.xml" ContentType="application/vnd.openxmlformats-officedocument.spreadsheetml.revisionLog+xml"/>
  <Override PartName="/xl/revisions/revisionLog11611.xml" ContentType="application/vnd.openxmlformats-officedocument.spreadsheetml.revisionLog+xml"/>
  <Override PartName="/xl/revisions/revisionLog1171.xml" ContentType="application/vnd.openxmlformats-officedocument.spreadsheetml.revisionLog+xml"/>
  <Override PartName="/xl/revisions/revisionLog1182.xml" ContentType="application/vnd.openxmlformats-officedocument.spreadsheetml.revisionLog+xml"/>
  <Override PartName="/xl/revisions/revisionLog1241.xml" ContentType="application/vnd.openxmlformats-officedocument.spreadsheetml.revisionLog+xml"/>
  <Override PartName="/xl/revisions/revisionLog1421.xml" ContentType="application/vnd.openxmlformats-officedocument.spreadsheetml.revisionLog+xml"/>
  <Override PartName="/xl/revisions/revisionLog1521.xml" ContentType="application/vnd.openxmlformats-officedocument.spreadsheetml.revisionLog+xml"/>
  <Override PartName="/xl/revisions/revisionLog125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51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1122111.xml" ContentType="application/vnd.openxmlformats-officedocument.spreadsheetml.revisionLog+xml"/>
  <Override PartName="/xl/revisions/revisionLog11711.xml" ContentType="application/vnd.openxmlformats-officedocument.spreadsheetml.revisionLog+xml"/>
  <Override PartName="/xl/revisions/revisionLog1181.xml" ContentType="application/vnd.openxmlformats-officedocument.spreadsheetml.revisionLog+xml"/>
  <Override PartName="/xl/revisions/revisionLog1191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2111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221.xml" ContentType="application/vnd.openxmlformats-officedocument.spreadsheetml.revisionLog+xml"/>
  <Override PartName="/xl/revisions/revisionLog1101.xml" ContentType="application/vnd.openxmlformats-officedocument.spreadsheetml.revisionLog+xml"/>
  <Override PartName="/xl/revisions/revisionLog123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52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1231.xml" ContentType="application/vnd.openxmlformats-officedocument.spreadsheetml.revisionLog+xml"/>
  <Override PartName="/xl/revisions/revisionLog12211.xml" ContentType="application/vnd.openxmlformats-officedocument.spreadsheetml.revisionLog+xml"/>
  <Override PartName="/xl/revisions/revisionLog1102.xml" ContentType="application/vnd.openxmlformats-officedocument.spreadsheetml.revisionLog+xml"/>
  <Override PartName="/xl/revisions/revisionLog11221111.xml" ContentType="application/vnd.openxmlformats-officedocument.spreadsheetml.revisionLog+xml"/>
  <Override PartName="/xl/revisions/revisionLog117111.xml" ContentType="application/vnd.openxmlformats-officedocument.spreadsheetml.revisionLog+xml"/>
  <Override PartName="/xl/revisions/revisionLog11911.xml" ContentType="application/vnd.openxmlformats-officedocument.spreadsheetml.revisionLog+xml"/>
  <Override PartName="/xl/revisions/revisionLog1201.xml" ContentType="application/vnd.openxmlformats-officedocument.spreadsheetml.revisionLog+xml"/>
  <Override PartName="/xl/revisions/revisionLog122111.xml" ContentType="application/vnd.openxmlformats-officedocument.spreadsheetml.revisionLog+xml"/>
  <Override PartName="/xl/revisions/revisionLog142.xml" ContentType="application/vnd.openxmlformats-officedocument.spreadsheetml.revisionLog+xml"/>
  <Override PartName="/xl/revisions/revisionLog11012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15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lockRevision="1"/>
  <bookViews>
    <workbookView xWindow="-1305" yWindow="-135" windowWidth="15480" windowHeight="11505" firstSheet="2" activeTab="2"/>
  </bookViews>
  <sheets>
    <sheet name="Лист1" sheetId="5" state="hidden" r:id="rId1"/>
    <sheet name="Ноябрь 2013г" sheetId="2" state="hidden" r:id="rId2"/>
    <sheet name="декабрь 2014г" sheetId="1" r:id="rId3"/>
    <sheet name="декабрь 2014г. по 6-10" sheetId="3" r:id="rId4"/>
    <sheet name="декабрь 2014г. по 0,4" sheetId="4" r:id="rId5"/>
    <sheet name="Лист2" sheetId="6" state="hidden" r:id="rId6"/>
    <sheet name="Лист3" sheetId="7" state="hidden" r:id="rId7"/>
    <sheet name="Лист4" sheetId="8" state="hidden" r:id="rId8"/>
    <sheet name="Лист5" sheetId="9" r:id="rId9"/>
  </sheets>
  <definedNames>
    <definedName name="_xlnm._FilterDatabase" localSheetId="2" hidden="1">'декабрь 2014г'!$C$21:$C$246</definedName>
    <definedName name="_xlnm._FilterDatabase" localSheetId="4" hidden="1">'декабрь 2014г. по 0,4'!$C$18:$C$127</definedName>
    <definedName name="_xlnm._FilterDatabase" localSheetId="3" hidden="1">'декабрь 2014г. по 6-10'!$C$21:$C$130</definedName>
    <definedName name="_xlnm._FilterDatabase" localSheetId="1" hidden="1">'Ноябрь 2013г'!$C$21:$C$131</definedName>
    <definedName name="Z_A743F9C7_8B89_4E8F_B91F_1FFB859064F2_.wvu.FilterData" localSheetId="2" hidden="1">'декабрь 2014г'!$C$21:$C$246</definedName>
    <definedName name="Z_A743F9C7_8B89_4E8F_B91F_1FFB859064F2_.wvu.FilterData" localSheetId="4" hidden="1">'декабрь 2014г. по 0,4'!$C$18:$C$127</definedName>
    <definedName name="Z_A743F9C7_8B89_4E8F_B91F_1FFB859064F2_.wvu.FilterData" localSheetId="3" hidden="1">'декабрь 2014г. по 6-10'!$C$21:$C$130</definedName>
    <definedName name="Z_A743F9C7_8B89_4E8F_B91F_1FFB859064F2_.wvu.FilterData" localSheetId="1" hidden="1">'Ноябрь 2013г'!$C$21:$C$131</definedName>
    <definedName name="Z_A743F9C7_8B89_4E8F_B91F_1FFB859064F2_.wvu.Rows" localSheetId="4" hidden="1">'декабрь 2014г. по 0,4'!$2:$12</definedName>
    <definedName name="Z_A743F9C7_8B89_4E8F_B91F_1FFB859064F2_.wvu.Rows" localSheetId="3" hidden="1">'декабрь 2014г. по 6-10'!$2:$12</definedName>
    <definedName name="Z_AE693E57_7143_42C6_BE39_5ABDB0359885_.wvu.FilterData" localSheetId="2" hidden="1">'декабрь 2014г'!$C$21:$C$246</definedName>
    <definedName name="Z_AE693E57_7143_42C6_BE39_5ABDB0359885_.wvu.FilterData" localSheetId="4" hidden="1">'декабрь 2014г. по 0,4'!$C$18:$C$127</definedName>
    <definedName name="Z_AE693E57_7143_42C6_BE39_5ABDB0359885_.wvu.FilterData" localSheetId="3" hidden="1">'декабрь 2014г. по 6-10'!$C$21:$C$130</definedName>
    <definedName name="Z_AE693E57_7143_42C6_BE39_5ABDB0359885_.wvu.FilterData" localSheetId="1" hidden="1">'Ноябрь 2013г'!$C$21:$C$131</definedName>
    <definedName name="Z_AE693E57_7143_42C6_BE39_5ABDB0359885_.wvu.Rows" localSheetId="4" hidden="1">'декабрь 2014г. по 0,4'!$2:$12</definedName>
    <definedName name="Z_AE693E57_7143_42C6_BE39_5ABDB0359885_.wvu.Rows" localSheetId="3" hidden="1">'декабрь 2014г. по 6-10'!$2:$12</definedName>
  </definedNames>
  <calcPr calcId="145621"/>
  <customWorkbookViews>
    <customWorkbookView name="Данченко Игорь Васильевич - Личное представление" guid="{AE693E57-7143-42C6-BE39-5ABDB0359885}" mergeInterval="0" personalView="1" maximized="1" windowWidth="1916" windowHeight="855" activeSheetId="1"/>
    <customWorkbookView name="Мамедова Фарида - Личное представление" guid="{A743F9C7-8B89-4E8F-B91F-1FFB859064F2}" mergeInterval="0" personalView="1" maximized="1" xWindow="1" yWindow="1" windowWidth="1020" windowHeight="547" activeSheetId="4"/>
  </customWorkbookViews>
</workbook>
</file>

<file path=xl/calcChain.xml><?xml version="1.0" encoding="utf-8"?>
<calcChain xmlns="http://schemas.openxmlformats.org/spreadsheetml/2006/main">
  <c r="K51" i="4" l="1"/>
  <c r="K52" i="4"/>
  <c r="K169" i="4"/>
  <c r="K94" i="4"/>
  <c r="K82" i="4"/>
  <c r="K81" i="4"/>
  <c r="K80" i="4"/>
  <c r="K107" i="4"/>
  <c r="K106" i="4"/>
  <c r="K105" i="4"/>
  <c r="K116" i="4"/>
  <c r="K114" i="4"/>
  <c r="K110" i="4"/>
  <c r="K109" i="4"/>
  <c r="K123" i="4"/>
  <c r="K122" i="4"/>
  <c r="K121" i="4"/>
  <c r="K119" i="4"/>
  <c r="K133" i="4"/>
  <c r="K132" i="4"/>
  <c r="K128" i="4"/>
  <c r="K127" i="4"/>
  <c r="K126" i="4"/>
  <c r="K147" i="4"/>
  <c r="K146" i="4"/>
  <c r="K145" i="4"/>
  <c r="K144" i="4"/>
  <c r="K142" i="4"/>
  <c r="K140" i="4"/>
  <c r="K139" i="4"/>
  <c r="K198" i="4"/>
  <c r="K223" i="4"/>
  <c r="K222" i="4"/>
  <c r="K211" i="4"/>
  <c r="K208" i="4"/>
  <c r="K207" i="4"/>
  <c r="K206" i="4"/>
  <c r="K240" i="4"/>
  <c r="K238" i="4"/>
  <c r="E31" i="4"/>
  <c r="E63" i="4"/>
  <c r="E101" i="4"/>
  <c r="E102" i="4"/>
  <c r="K117" i="3"/>
  <c r="K62" i="3"/>
  <c r="K97" i="3"/>
  <c r="K167" i="3"/>
  <c r="K184" i="3"/>
  <c r="K209" i="3"/>
  <c r="K233" i="3"/>
  <c r="E66" i="3"/>
  <c r="E114" i="3"/>
  <c r="E35" i="3"/>
  <c r="E215" i="3"/>
  <c r="E197" i="3"/>
  <c r="E117" i="3"/>
  <c r="E107" i="3"/>
  <c r="E68" i="3"/>
  <c r="N9" i="9" l="1"/>
  <c r="M9" i="9"/>
  <c r="N11" i="9"/>
  <c r="M12" i="9"/>
  <c r="N3" i="9"/>
  <c r="N5" i="9"/>
  <c r="M7" i="9"/>
  <c r="E26" i="3" l="1"/>
  <c r="E36" i="3"/>
  <c r="L12" i="9" l="1"/>
  <c r="K12" i="9"/>
  <c r="J12" i="9"/>
  <c r="I12" i="9"/>
  <c r="H12" i="9"/>
  <c r="G12" i="9"/>
  <c r="F12" i="9"/>
  <c r="E12" i="9"/>
  <c r="D12" i="9"/>
  <c r="C12" i="9"/>
  <c r="B12" i="9"/>
  <c r="L7" i="9"/>
  <c r="K7" i="9"/>
  <c r="J7" i="9"/>
  <c r="I7" i="9"/>
  <c r="H7" i="9"/>
  <c r="G7" i="9"/>
  <c r="F7" i="9"/>
  <c r="E7" i="9"/>
  <c r="D7" i="9"/>
  <c r="C7" i="9"/>
  <c r="B7" i="9"/>
  <c r="E136" i="3"/>
  <c r="E108" i="3"/>
  <c r="E106" i="3"/>
  <c r="E105" i="3"/>
  <c r="E104" i="3"/>
  <c r="E33" i="3"/>
  <c r="E32" i="3"/>
  <c r="E67" i="3"/>
  <c r="N7" i="9" l="1"/>
  <c r="N12" i="9"/>
  <c r="E208" i="3"/>
  <c r="E144" i="4" l="1"/>
  <c r="E34" i="3"/>
  <c r="E37" i="3"/>
  <c r="E155" i="3"/>
  <c r="E175" i="4"/>
  <c r="E109" i="4"/>
  <c r="E198" i="4"/>
  <c r="E107" i="4"/>
  <c r="E179" i="4"/>
  <c r="E156" i="3"/>
  <c r="E106" i="4"/>
  <c r="E38" i="4"/>
  <c r="E29" i="4"/>
  <c r="E194" i="4"/>
  <c r="E40" i="4"/>
  <c r="E36" i="4"/>
  <c r="E105" i="4"/>
  <c r="E113" i="3"/>
  <c r="E33" i="4"/>
  <c r="E208" i="4"/>
  <c r="E133" i="4"/>
  <c r="E122" i="4"/>
  <c r="E51" i="3"/>
  <c r="E63" i="3" l="1"/>
  <c r="E39" i="3"/>
  <c r="E110" i="4"/>
  <c r="E118" i="3"/>
  <c r="G64" i="4"/>
  <c r="E64" i="4"/>
  <c r="Q241" i="4"/>
  <c r="P241" i="4"/>
  <c r="O241" i="4"/>
  <c r="N241" i="4"/>
  <c r="M241" i="4"/>
  <c r="L241" i="4"/>
  <c r="K241" i="4"/>
  <c r="J241" i="4"/>
  <c r="I241" i="4"/>
  <c r="H241" i="4"/>
  <c r="F241" i="4"/>
  <c r="D241" i="4"/>
  <c r="E240" i="4"/>
  <c r="E238" i="4"/>
  <c r="E223" i="4"/>
  <c r="E222" i="4"/>
  <c r="E211" i="4"/>
  <c r="G207" i="4"/>
  <c r="G241" i="4" s="1"/>
  <c r="E207" i="4"/>
  <c r="E206" i="4"/>
  <c r="J199" i="4"/>
  <c r="I199" i="4"/>
  <c r="F199" i="4"/>
  <c r="D199" i="4"/>
  <c r="G198" i="4"/>
  <c r="G199" i="4" s="1"/>
  <c r="E199" i="4"/>
  <c r="K192" i="4"/>
  <c r="J192" i="4"/>
  <c r="I192" i="4"/>
  <c r="G192" i="4"/>
  <c r="F192" i="4"/>
  <c r="E192" i="4"/>
  <c r="D192" i="4"/>
  <c r="Q182" i="4"/>
  <c r="P182" i="4"/>
  <c r="O182" i="4"/>
  <c r="N182" i="4"/>
  <c r="M182" i="4"/>
  <c r="L182" i="4"/>
  <c r="K182" i="4"/>
  <c r="J182" i="4"/>
  <c r="I182" i="4"/>
  <c r="H182" i="4"/>
  <c r="G182" i="4"/>
  <c r="F182" i="4"/>
  <c r="D182" i="4"/>
  <c r="E181" i="4"/>
  <c r="E176" i="4"/>
  <c r="E171" i="4"/>
  <c r="E169" i="4"/>
  <c r="E167" i="4"/>
  <c r="Q150" i="4"/>
  <c r="P150" i="4"/>
  <c r="O150" i="4"/>
  <c r="N150" i="4"/>
  <c r="M150" i="4"/>
  <c r="L150" i="4"/>
  <c r="J150" i="4"/>
  <c r="I150" i="4"/>
  <c r="H150" i="4"/>
  <c r="F150" i="4"/>
  <c r="D150" i="4"/>
  <c r="E147" i="4"/>
  <c r="E146" i="4"/>
  <c r="E145" i="4"/>
  <c r="G142" i="4"/>
  <c r="E142" i="4"/>
  <c r="E140" i="4"/>
  <c r="E139" i="4"/>
  <c r="G132" i="4"/>
  <c r="E132" i="4"/>
  <c r="G128" i="4"/>
  <c r="E128" i="4"/>
  <c r="E127" i="4"/>
  <c r="E126" i="4"/>
  <c r="E123" i="4"/>
  <c r="E121" i="4"/>
  <c r="G119" i="4"/>
  <c r="E119" i="4"/>
  <c r="G116" i="4"/>
  <c r="E116" i="4"/>
  <c r="E114" i="4"/>
  <c r="K150" i="4"/>
  <c r="Q99" i="4"/>
  <c r="P99" i="4"/>
  <c r="O99" i="4"/>
  <c r="N99" i="4"/>
  <c r="M99" i="4"/>
  <c r="L99" i="4"/>
  <c r="J99" i="4"/>
  <c r="I99" i="4"/>
  <c r="H99" i="4"/>
  <c r="F99" i="4"/>
  <c r="D99" i="4"/>
  <c r="E94" i="4"/>
  <c r="G82" i="4"/>
  <c r="E82" i="4"/>
  <c r="E81" i="4"/>
  <c r="E80" i="4"/>
  <c r="E78" i="4"/>
  <c r="G75" i="4"/>
  <c r="E74" i="4"/>
  <c r="G72" i="4"/>
  <c r="E72" i="4"/>
  <c r="K65" i="4"/>
  <c r="K99" i="4" s="1"/>
  <c r="G65" i="4"/>
  <c r="Q61" i="4"/>
  <c r="P61" i="4"/>
  <c r="O61" i="4"/>
  <c r="N61" i="4"/>
  <c r="M61" i="4"/>
  <c r="L61" i="4"/>
  <c r="J61" i="4"/>
  <c r="I61" i="4"/>
  <c r="H61" i="4"/>
  <c r="F61" i="4"/>
  <c r="D61" i="4"/>
  <c r="G56" i="4"/>
  <c r="G61" i="4" s="1"/>
  <c r="K61" i="4"/>
  <c r="E52" i="4"/>
  <c r="E51" i="4"/>
  <c r="E42" i="4"/>
  <c r="E61" i="4" s="1"/>
  <c r="Q244" i="3"/>
  <c r="P244" i="3"/>
  <c r="O244" i="3"/>
  <c r="N244" i="3"/>
  <c r="M244" i="3"/>
  <c r="L244" i="3"/>
  <c r="K244" i="3"/>
  <c r="J244" i="3"/>
  <c r="I244" i="3"/>
  <c r="H244" i="3"/>
  <c r="F244" i="3"/>
  <c r="D244" i="3"/>
  <c r="E233" i="3"/>
  <c r="G232" i="3"/>
  <c r="G216" i="3"/>
  <c r="E216" i="3"/>
  <c r="E214" i="3"/>
  <c r="G209" i="3"/>
  <c r="E209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Q185" i="3"/>
  <c r="P185" i="3"/>
  <c r="O185" i="3"/>
  <c r="N185" i="3"/>
  <c r="M185" i="3"/>
  <c r="L185" i="3"/>
  <c r="K185" i="3"/>
  <c r="J185" i="3"/>
  <c r="I185" i="3"/>
  <c r="H185" i="3"/>
  <c r="G185" i="3"/>
  <c r="F185" i="3"/>
  <c r="D185" i="3"/>
  <c r="E184" i="3"/>
  <c r="E178" i="3"/>
  <c r="E167" i="3"/>
  <c r="E185" i="3"/>
  <c r="Q153" i="3"/>
  <c r="P153" i="3"/>
  <c r="O153" i="3"/>
  <c r="N153" i="3"/>
  <c r="M153" i="3"/>
  <c r="L153" i="3"/>
  <c r="K153" i="3"/>
  <c r="J153" i="3"/>
  <c r="I153" i="3"/>
  <c r="H153" i="3"/>
  <c r="F153" i="3"/>
  <c r="D153" i="3"/>
  <c r="G147" i="3"/>
  <c r="G139" i="3"/>
  <c r="G127" i="3"/>
  <c r="E127" i="3"/>
  <c r="E126" i="3"/>
  <c r="E123" i="3"/>
  <c r="E122" i="3"/>
  <c r="E119" i="3"/>
  <c r="G112" i="3"/>
  <c r="E112" i="3"/>
  <c r="E110" i="3"/>
  <c r="E109" i="3"/>
  <c r="E153" i="3" s="1"/>
  <c r="Q102" i="3"/>
  <c r="P102" i="3"/>
  <c r="O102" i="3"/>
  <c r="N102" i="3"/>
  <c r="M102" i="3"/>
  <c r="L102" i="3"/>
  <c r="K102" i="3"/>
  <c r="J102" i="3"/>
  <c r="I102" i="3"/>
  <c r="H102" i="3"/>
  <c r="G102" i="3"/>
  <c r="F102" i="3"/>
  <c r="D102" i="3"/>
  <c r="E101" i="3"/>
  <c r="E99" i="3"/>
  <c r="E102" i="3" s="1"/>
  <c r="E97" i="3"/>
  <c r="Q64" i="3"/>
  <c r="P64" i="3"/>
  <c r="O64" i="3"/>
  <c r="N64" i="3"/>
  <c r="M64" i="3"/>
  <c r="L64" i="3"/>
  <c r="K64" i="3"/>
  <c r="J64" i="3"/>
  <c r="I64" i="3"/>
  <c r="H64" i="3"/>
  <c r="F64" i="3"/>
  <c r="D64" i="3"/>
  <c r="E62" i="3"/>
  <c r="E60" i="3"/>
  <c r="E57" i="3"/>
  <c r="E56" i="3"/>
  <c r="E54" i="3"/>
  <c r="G50" i="3"/>
  <c r="E50" i="3"/>
  <c r="E49" i="3"/>
  <c r="E42" i="3"/>
  <c r="E64" i="3" s="1"/>
  <c r="G26" i="3"/>
  <c r="G64" i="3" s="1"/>
  <c r="E182" i="4" l="1"/>
  <c r="E150" i="4"/>
  <c r="E99" i="4"/>
  <c r="G150" i="4"/>
  <c r="G244" i="3"/>
  <c r="G99" i="4"/>
  <c r="E241" i="4"/>
  <c r="E244" i="3"/>
  <c r="G153" i="3"/>
  <c r="D242" i="4"/>
  <c r="D243" i="4" s="1"/>
  <c r="F242" i="4"/>
  <c r="F243" i="4" s="1"/>
  <c r="H242" i="4"/>
  <c r="H243" i="4" s="1"/>
  <c r="I242" i="4"/>
  <c r="I243" i="4" s="1"/>
  <c r="J242" i="4"/>
  <c r="J243" i="4" s="1"/>
  <c r="L242" i="4"/>
  <c r="L243" i="4" s="1"/>
  <c r="M242" i="4"/>
  <c r="M243" i="4" s="1"/>
  <c r="N242" i="4"/>
  <c r="N243" i="4" s="1"/>
  <c r="O242" i="4"/>
  <c r="O243" i="4" s="1"/>
  <c r="P242" i="4"/>
  <c r="P243" i="4" s="1"/>
  <c r="Q242" i="4"/>
  <c r="Q243" i="4" s="1"/>
  <c r="D245" i="3"/>
  <c r="D246" i="3" s="1"/>
  <c r="D251" i="3" s="1"/>
  <c r="F245" i="3"/>
  <c r="F246" i="3" s="1"/>
  <c r="H245" i="3"/>
  <c r="H246" i="3" s="1"/>
  <c r="I245" i="3"/>
  <c r="I246" i="3" s="1"/>
  <c r="J245" i="3"/>
  <c r="J246" i="3" s="1"/>
  <c r="J249" i="3" s="1"/>
  <c r="K245" i="3"/>
  <c r="K246" i="3" s="1"/>
  <c r="K249" i="3" s="1"/>
  <c r="L245" i="3"/>
  <c r="L246" i="3" s="1"/>
  <c r="M245" i="3"/>
  <c r="M246" i="3" s="1"/>
  <c r="N245" i="3"/>
  <c r="N246" i="3" s="1"/>
  <c r="O245" i="3"/>
  <c r="O246" i="3" s="1"/>
  <c r="P245" i="3"/>
  <c r="P246" i="3" s="1"/>
  <c r="Q245" i="3"/>
  <c r="Q246" i="3" s="1"/>
  <c r="K242" i="4"/>
  <c r="K243" i="4" s="1"/>
  <c r="E245" i="3"/>
  <c r="E246" i="3" s="1"/>
  <c r="E251" i="3" s="1"/>
  <c r="G245" i="3"/>
  <c r="G246" i="3" s="1"/>
  <c r="G242" i="4" l="1"/>
  <c r="G243" i="4" s="1"/>
  <c r="E242" i="4"/>
  <c r="E243" i="4" s="1"/>
  <c r="H156" i="1"/>
  <c r="D242" i="1" l="1"/>
  <c r="D74" i="1" l="1"/>
  <c r="F74" i="1"/>
  <c r="H74" i="1"/>
  <c r="I74" i="1"/>
  <c r="J74" i="1"/>
  <c r="K74" i="1"/>
  <c r="L74" i="1"/>
  <c r="M74" i="1"/>
  <c r="N74" i="1"/>
  <c r="O74" i="1"/>
  <c r="P74" i="1"/>
  <c r="Q74" i="1"/>
  <c r="E74" i="1" l="1"/>
  <c r="G74" i="1"/>
  <c r="Q243" i="1" l="1"/>
  <c r="P243" i="1"/>
  <c r="O243" i="1"/>
  <c r="N243" i="1"/>
  <c r="M243" i="1"/>
  <c r="L243" i="1"/>
  <c r="K243" i="1"/>
  <c r="J243" i="1"/>
  <c r="I243" i="1"/>
  <c r="H243" i="1"/>
  <c r="Q242" i="1"/>
  <c r="P242" i="1"/>
  <c r="O242" i="1"/>
  <c r="N242" i="1"/>
  <c r="M242" i="1"/>
  <c r="L242" i="1"/>
  <c r="K242" i="1"/>
  <c r="J242" i="1"/>
  <c r="I242" i="1"/>
  <c r="H242" i="1"/>
  <c r="Q241" i="1"/>
  <c r="P241" i="1"/>
  <c r="O241" i="1"/>
  <c r="N241" i="1"/>
  <c r="M241" i="1"/>
  <c r="L241" i="1"/>
  <c r="K241" i="1"/>
  <c r="J241" i="1"/>
  <c r="I241" i="1"/>
  <c r="H241" i="1"/>
  <c r="Q240" i="1"/>
  <c r="P240" i="1"/>
  <c r="O240" i="1"/>
  <c r="N240" i="1"/>
  <c r="M240" i="1"/>
  <c r="L240" i="1"/>
  <c r="K240" i="1"/>
  <c r="J240" i="1"/>
  <c r="I240" i="1"/>
  <c r="H240" i="1"/>
  <c r="Q239" i="1"/>
  <c r="P239" i="1"/>
  <c r="O239" i="1"/>
  <c r="N239" i="1"/>
  <c r="M239" i="1"/>
  <c r="L239" i="1"/>
  <c r="K239" i="1"/>
  <c r="J239" i="1"/>
  <c r="I239" i="1"/>
  <c r="H239" i="1"/>
  <c r="Q238" i="1"/>
  <c r="P238" i="1"/>
  <c r="O238" i="1"/>
  <c r="N238" i="1"/>
  <c r="M238" i="1"/>
  <c r="L238" i="1"/>
  <c r="K238" i="1"/>
  <c r="J238" i="1"/>
  <c r="I238" i="1"/>
  <c r="H238" i="1"/>
  <c r="Q237" i="1"/>
  <c r="P237" i="1"/>
  <c r="O237" i="1"/>
  <c r="N237" i="1"/>
  <c r="M237" i="1"/>
  <c r="L237" i="1"/>
  <c r="K237" i="1"/>
  <c r="J237" i="1"/>
  <c r="I237" i="1"/>
  <c r="H237" i="1"/>
  <c r="Q236" i="1"/>
  <c r="P236" i="1"/>
  <c r="O236" i="1"/>
  <c r="N236" i="1"/>
  <c r="M236" i="1"/>
  <c r="L236" i="1"/>
  <c r="K236" i="1"/>
  <c r="J236" i="1"/>
  <c r="I236" i="1"/>
  <c r="H236" i="1"/>
  <c r="Q235" i="1"/>
  <c r="P235" i="1"/>
  <c r="O235" i="1"/>
  <c r="N235" i="1"/>
  <c r="M235" i="1"/>
  <c r="L235" i="1"/>
  <c r="K235" i="1"/>
  <c r="J235" i="1"/>
  <c r="I235" i="1"/>
  <c r="H235" i="1"/>
  <c r="Q234" i="1"/>
  <c r="P234" i="1"/>
  <c r="O234" i="1"/>
  <c r="N234" i="1"/>
  <c r="M234" i="1"/>
  <c r="L234" i="1"/>
  <c r="K234" i="1"/>
  <c r="J234" i="1"/>
  <c r="I234" i="1"/>
  <c r="H234" i="1"/>
  <c r="Q233" i="1"/>
  <c r="P233" i="1"/>
  <c r="O233" i="1"/>
  <c r="N233" i="1"/>
  <c r="M233" i="1"/>
  <c r="L233" i="1"/>
  <c r="K233" i="1"/>
  <c r="J233" i="1"/>
  <c r="I233" i="1"/>
  <c r="H233" i="1"/>
  <c r="Q232" i="1"/>
  <c r="P232" i="1"/>
  <c r="O232" i="1"/>
  <c r="N232" i="1"/>
  <c r="M232" i="1"/>
  <c r="L232" i="1"/>
  <c r="K232" i="1"/>
  <c r="J232" i="1"/>
  <c r="I232" i="1"/>
  <c r="H232" i="1"/>
  <c r="Q231" i="1"/>
  <c r="P231" i="1"/>
  <c r="O231" i="1"/>
  <c r="N231" i="1"/>
  <c r="M231" i="1"/>
  <c r="L231" i="1"/>
  <c r="K231" i="1"/>
  <c r="J231" i="1"/>
  <c r="I231" i="1"/>
  <c r="H231" i="1"/>
  <c r="Q230" i="1"/>
  <c r="P230" i="1"/>
  <c r="O230" i="1"/>
  <c r="N230" i="1"/>
  <c r="M230" i="1"/>
  <c r="L230" i="1"/>
  <c r="K230" i="1"/>
  <c r="J230" i="1"/>
  <c r="I230" i="1"/>
  <c r="H230" i="1"/>
  <c r="Q229" i="1"/>
  <c r="P229" i="1"/>
  <c r="O229" i="1"/>
  <c r="N229" i="1"/>
  <c r="M229" i="1"/>
  <c r="L229" i="1"/>
  <c r="K229" i="1"/>
  <c r="J229" i="1"/>
  <c r="I229" i="1"/>
  <c r="H229" i="1"/>
  <c r="Q228" i="1"/>
  <c r="P228" i="1"/>
  <c r="O228" i="1"/>
  <c r="N228" i="1"/>
  <c r="M228" i="1"/>
  <c r="L228" i="1"/>
  <c r="K228" i="1"/>
  <c r="J228" i="1"/>
  <c r="I228" i="1"/>
  <c r="H228" i="1"/>
  <c r="Q227" i="1"/>
  <c r="P227" i="1"/>
  <c r="O227" i="1"/>
  <c r="N227" i="1"/>
  <c r="M227" i="1"/>
  <c r="L227" i="1"/>
  <c r="K227" i="1"/>
  <c r="J227" i="1"/>
  <c r="I227" i="1"/>
  <c r="H227" i="1"/>
  <c r="Q226" i="1"/>
  <c r="P226" i="1"/>
  <c r="O226" i="1"/>
  <c r="N226" i="1"/>
  <c r="M226" i="1"/>
  <c r="L226" i="1"/>
  <c r="K226" i="1"/>
  <c r="J226" i="1"/>
  <c r="I226" i="1"/>
  <c r="H226" i="1"/>
  <c r="Q225" i="1"/>
  <c r="P225" i="1"/>
  <c r="O225" i="1"/>
  <c r="N225" i="1"/>
  <c r="M225" i="1"/>
  <c r="L225" i="1"/>
  <c r="K225" i="1"/>
  <c r="J225" i="1"/>
  <c r="I225" i="1"/>
  <c r="H225" i="1"/>
  <c r="Q224" i="1"/>
  <c r="P224" i="1"/>
  <c r="O224" i="1"/>
  <c r="N224" i="1"/>
  <c r="M224" i="1"/>
  <c r="L224" i="1"/>
  <c r="K224" i="1"/>
  <c r="J224" i="1"/>
  <c r="I224" i="1"/>
  <c r="H224" i="1"/>
  <c r="Q223" i="1"/>
  <c r="P223" i="1"/>
  <c r="O223" i="1"/>
  <c r="N223" i="1"/>
  <c r="M223" i="1"/>
  <c r="L223" i="1"/>
  <c r="K223" i="1"/>
  <c r="J223" i="1"/>
  <c r="I223" i="1"/>
  <c r="H223" i="1"/>
  <c r="Q222" i="1"/>
  <c r="P222" i="1"/>
  <c r="O222" i="1"/>
  <c r="N222" i="1"/>
  <c r="M222" i="1"/>
  <c r="L222" i="1"/>
  <c r="K222" i="1"/>
  <c r="J222" i="1"/>
  <c r="I222" i="1"/>
  <c r="H222" i="1"/>
  <c r="Q221" i="1"/>
  <c r="P221" i="1"/>
  <c r="O221" i="1"/>
  <c r="N221" i="1"/>
  <c r="M221" i="1"/>
  <c r="L221" i="1"/>
  <c r="K221" i="1"/>
  <c r="J221" i="1"/>
  <c r="I221" i="1"/>
  <c r="H221" i="1"/>
  <c r="Q220" i="1"/>
  <c r="P220" i="1"/>
  <c r="O220" i="1"/>
  <c r="N220" i="1"/>
  <c r="M220" i="1"/>
  <c r="L220" i="1"/>
  <c r="K220" i="1"/>
  <c r="J220" i="1"/>
  <c r="I220" i="1"/>
  <c r="H220" i="1"/>
  <c r="Q219" i="1"/>
  <c r="P219" i="1"/>
  <c r="O219" i="1"/>
  <c r="N219" i="1"/>
  <c r="M219" i="1"/>
  <c r="L219" i="1"/>
  <c r="K219" i="1"/>
  <c r="J219" i="1"/>
  <c r="I219" i="1"/>
  <c r="H219" i="1"/>
  <c r="Q218" i="1"/>
  <c r="P218" i="1"/>
  <c r="O218" i="1"/>
  <c r="N218" i="1"/>
  <c r="M218" i="1"/>
  <c r="L218" i="1"/>
  <c r="K218" i="1"/>
  <c r="J218" i="1"/>
  <c r="I218" i="1"/>
  <c r="H218" i="1"/>
  <c r="Q217" i="1"/>
  <c r="P217" i="1"/>
  <c r="O217" i="1"/>
  <c r="N217" i="1"/>
  <c r="M217" i="1"/>
  <c r="L217" i="1"/>
  <c r="K217" i="1"/>
  <c r="J217" i="1"/>
  <c r="I217" i="1"/>
  <c r="H217" i="1"/>
  <c r="Q216" i="1"/>
  <c r="P216" i="1"/>
  <c r="O216" i="1"/>
  <c r="N216" i="1"/>
  <c r="M216" i="1"/>
  <c r="L216" i="1"/>
  <c r="K216" i="1"/>
  <c r="J216" i="1"/>
  <c r="I216" i="1"/>
  <c r="H216" i="1"/>
  <c r="Q215" i="1"/>
  <c r="P215" i="1"/>
  <c r="O215" i="1"/>
  <c r="N215" i="1"/>
  <c r="M215" i="1"/>
  <c r="L215" i="1"/>
  <c r="K215" i="1"/>
  <c r="J215" i="1"/>
  <c r="I215" i="1"/>
  <c r="H215" i="1"/>
  <c r="Q214" i="1"/>
  <c r="P214" i="1"/>
  <c r="O214" i="1"/>
  <c r="N214" i="1"/>
  <c r="M214" i="1"/>
  <c r="L214" i="1"/>
  <c r="K214" i="1"/>
  <c r="J214" i="1"/>
  <c r="I214" i="1"/>
  <c r="H214" i="1"/>
  <c r="Q213" i="1"/>
  <c r="P213" i="1"/>
  <c r="O213" i="1"/>
  <c r="N213" i="1"/>
  <c r="M213" i="1"/>
  <c r="L213" i="1"/>
  <c r="K213" i="1"/>
  <c r="J213" i="1"/>
  <c r="I213" i="1"/>
  <c r="H213" i="1"/>
  <c r="Q212" i="1"/>
  <c r="P212" i="1"/>
  <c r="O212" i="1"/>
  <c r="N212" i="1"/>
  <c r="M212" i="1"/>
  <c r="L212" i="1"/>
  <c r="K212" i="1"/>
  <c r="J212" i="1"/>
  <c r="I212" i="1"/>
  <c r="H212" i="1"/>
  <c r="Q211" i="1"/>
  <c r="P211" i="1"/>
  <c r="O211" i="1"/>
  <c r="N211" i="1"/>
  <c r="M211" i="1"/>
  <c r="L211" i="1"/>
  <c r="K211" i="1"/>
  <c r="J211" i="1"/>
  <c r="I211" i="1"/>
  <c r="H211" i="1"/>
  <c r="Q210" i="1"/>
  <c r="P210" i="1"/>
  <c r="O210" i="1"/>
  <c r="N210" i="1"/>
  <c r="M210" i="1"/>
  <c r="L210" i="1"/>
  <c r="K210" i="1"/>
  <c r="J210" i="1"/>
  <c r="I210" i="1"/>
  <c r="H210" i="1"/>
  <c r="Q209" i="1"/>
  <c r="P209" i="1"/>
  <c r="O209" i="1"/>
  <c r="N209" i="1"/>
  <c r="M209" i="1"/>
  <c r="L209" i="1"/>
  <c r="K209" i="1"/>
  <c r="J209" i="1"/>
  <c r="I209" i="1"/>
  <c r="H209" i="1"/>
  <c r="Q208" i="1"/>
  <c r="P208" i="1"/>
  <c r="O208" i="1"/>
  <c r="N208" i="1"/>
  <c r="M208" i="1"/>
  <c r="L208" i="1"/>
  <c r="K208" i="1"/>
  <c r="J208" i="1"/>
  <c r="I208" i="1"/>
  <c r="H208" i="1"/>
  <c r="Q207" i="1"/>
  <c r="P207" i="1"/>
  <c r="O207" i="1"/>
  <c r="N207" i="1"/>
  <c r="M207" i="1"/>
  <c r="L207" i="1"/>
  <c r="K207" i="1"/>
  <c r="J207" i="1"/>
  <c r="I207" i="1"/>
  <c r="H207" i="1"/>
  <c r="Q206" i="1"/>
  <c r="P206" i="1"/>
  <c r="O206" i="1"/>
  <c r="N206" i="1"/>
  <c r="M206" i="1"/>
  <c r="L206" i="1"/>
  <c r="K206" i="1"/>
  <c r="J206" i="1"/>
  <c r="I206" i="1"/>
  <c r="H206" i="1"/>
  <c r="Q205" i="1"/>
  <c r="P205" i="1"/>
  <c r="O205" i="1"/>
  <c r="N205" i="1"/>
  <c r="M205" i="1"/>
  <c r="L205" i="1"/>
  <c r="K205" i="1"/>
  <c r="J205" i="1"/>
  <c r="I205" i="1"/>
  <c r="H205" i="1"/>
  <c r="Q204" i="1"/>
  <c r="P204" i="1"/>
  <c r="O204" i="1"/>
  <c r="N204" i="1"/>
  <c r="M204" i="1"/>
  <c r="L204" i="1"/>
  <c r="K204" i="1"/>
  <c r="J204" i="1"/>
  <c r="I204" i="1"/>
  <c r="H204" i="1"/>
  <c r="Q201" i="1"/>
  <c r="P201" i="1"/>
  <c r="O201" i="1"/>
  <c r="N201" i="1"/>
  <c r="M201" i="1"/>
  <c r="L201" i="1"/>
  <c r="K201" i="1"/>
  <c r="J201" i="1"/>
  <c r="I201" i="1"/>
  <c r="H201" i="1"/>
  <c r="Q200" i="1"/>
  <c r="P200" i="1"/>
  <c r="O200" i="1"/>
  <c r="N200" i="1"/>
  <c r="M200" i="1"/>
  <c r="L200" i="1"/>
  <c r="K200" i="1"/>
  <c r="J200" i="1"/>
  <c r="I200" i="1"/>
  <c r="H200" i="1"/>
  <c r="Q199" i="1"/>
  <c r="P199" i="1"/>
  <c r="O199" i="1"/>
  <c r="N199" i="1"/>
  <c r="M199" i="1"/>
  <c r="L199" i="1"/>
  <c r="K199" i="1"/>
  <c r="J199" i="1"/>
  <c r="I199" i="1"/>
  <c r="H199" i="1"/>
  <c r="Q198" i="1"/>
  <c r="P198" i="1"/>
  <c r="O198" i="1"/>
  <c r="N198" i="1"/>
  <c r="M198" i="1"/>
  <c r="L198" i="1"/>
  <c r="K198" i="1"/>
  <c r="J198" i="1"/>
  <c r="I198" i="1"/>
  <c r="H198" i="1"/>
  <c r="Q197" i="1"/>
  <c r="P197" i="1"/>
  <c r="O197" i="1"/>
  <c r="N197" i="1"/>
  <c r="M197" i="1"/>
  <c r="L197" i="1"/>
  <c r="K197" i="1"/>
  <c r="J197" i="1"/>
  <c r="I197" i="1"/>
  <c r="H197" i="1"/>
  <c r="Q194" i="1"/>
  <c r="P194" i="1"/>
  <c r="O194" i="1"/>
  <c r="N194" i="1"/>
  <c r="M194" i="1"/>
  <c r="L194" i="1"/>
  <c r="K194" i="1"/>
  <c r="J194" i="1"/>
  <c r="I194" i="1"/>
  <c r="H194" i="1"/>
  <c r="Q193" i="1"/>
  <c r="P193" i="1"/>
  <c r="O193" i="1"/>
  <c r="N193" i="1"/>
  <c r="M193" i="1"/>
  <c r="L193" i="1"/>
  <c r="K193" i="1"/>
  <c r="J193" i="1"/>
  <c r="I193" i="1"/>
  <c r="H193" i="1"/>
  <c r="Q192" i="1"/>
  <c r="P192" i="1"/>
  <c r="O192" i="1"/>
  <c r="N192" i="1"/>
  <c r="M192" i="1"/>
  <c r="L192" i="1"/>
  <c r="K192" i="1"/>
  <c r="J192" i="1"/>
  <c r="I192" i="1"/>
  <c r="H192" i="1"/>
  <c r="Q191" i="1"/>
  <c r="P191" i="1"/>
  <c r="O191" i="1"/>
  <c r="N191" i="1"/>
  <c r="M191" i="1"/>
  <c r="L191" i="1"/>
  <c r="K191" i="1"/>
  <c r="J191" i="1"/>
  <c r="I191" i="1"/>
  <c r="H191" i="1"/>
  <c r="Q190" i="1"/>
  <c r="P190" i="1"/>
  <c r="O190" i="1"/>
  <c r="N190" i="1"/>
  <c r="M190" i="1"/>
  <c r="L190" i="1"/>
  <c r="K190" i="1"/>
  <c r="J190" i="1"/>
  <c r="I190" i="1"/>
  <c r="H190" i="1"/>
  <c r="Q189" i="1"/>
  <c r="P189" i="1"/>
  <c r="O189" i="1"/>
  <c r="N189" i="1"/>
  <c r="M189" i="1"/>
  <c r="L189" i="1"/>
  <c r="K189" i="1"/>
  <c r="J189" i="1"/>
  <c r="I189" i="1"/>
  <c r="H189" i="1"/>
  <c r="Q188" i="1"/>
  <c r="P188" i="1"/>
  <c r="O188" i="1"/>
  <c r="N188" i="1"/>
  <c r="M188" i="1"/>
  <c r="L188" i="1"/>
  <c r="K188" i="1"/>
  <c r="J188" i="1"/>
  <c r="I188" i="1"/>
  <c r="H188" i="1"/>
  <c r="Q187" i="1"/>
  <c r="P187" i="1"/>
  <c r="O187" i="1"/>
  <c r="N187" i="1"/>
  <c r="M187" i="1"/>
  <c r="L187" i="1"/>
  <c r="K187" i="1"/>
  <c r="J187" i="1"/>
  <c r="I187" i="1"/>
  <c r="H187" i="1"/>
  <c r="Q184" i="1"/>
  <c r="P184" i="1"/>
  <c r="O184" i="1"/>
  <c r="N184" i="1"/>
  <c r="M184" i="1"/>
  <c r="L184" i="1"/>
  <c r="K184" i="1"/>
  <c r="J184" i="1"/>
  <c r="I184" i="1"/>
  <c r="H184" i="1"/>
  <c r="Q183" i="1"/>
  <c r="P183" i="1"/>
  <c r="O183" i="1"/>
  <c r="N183" i="1"/>
  <c r="M183" i="1"/>
  <c r="L183" i="1"/>
  <c r="K183" i="1"/>
  <c r="J183" i="1"/>
  <c r="I183" i="1"/>
  <c r="H183" i="1"/>
  <c r="Q182" i="1"/>
  <c r="P182" i="1"/>
  <c r="O182" i="1"/>
  <c r="N182" i="1"/>
  <c r="M182" i="1"/>
  <c r="L182" i="1"/>
  <c r="K182" i="1"/>
  <c r="J182" i="1"/>
  <c r="I182" i="1"/>
  <c r="H182" i="1"/>
  <c r="Q181" i="1"/>
  <c r="P181" i="1"/>
  <c r="O181" i="1"/>
  <c r="N181" i="1"/>
  <c r="M181" i="1"/>
  <c r="L181" i="1"/>
  <c r="K181" i="1"/>
  <c r="J181" i="1"/>
  <c r="I181" i="1"/>
  <c r="H181" i="1"/>
  <c r="Q180" i="1"/>
  <c r="P180" i="1"/>
  <c r="O180" i="1"/>
  <c r="N180" i="1"/>
  <c r="M180" i="1"/>
  <c r="L180" i="1"/>
  <c r="K180" i="1"/>
  <c r="J180" i="1"/>
  <c r="I180" i="1"/>
  <c r="H180" i="1"/>
  <c r="Q179" i="1"/>
  <c r="P179" i="1"/>
  <c r="O179" i="1"/>
  <c r="N179" i="1"/>
  <c r="M179" i="1"/>
  <c r="L179" i="1"/>
  <c r="K179" i="1"/>
  <c r="J179" i="1"/>
  <c r="I179" i="1"/>
  <c r="H179" i="1"/>
  <c r="Q178" i="1"/>
  <c r="P178" i="1"/>
  <c r="O178" i="1"/>
  <c r="N178" i="1"/>
  <c r="M178" i="1"/>
  <c r="L178" i="1"/>
  <c r="K178" i="1"/>
  <c r="J178" i="1"/>
  <c r="I178" i="1"/>
  <c r="H178" i="1"/>
  <c r="Q177" i="1"/>
  <c r="P177" i="1"/>
  <c r="O177" i="1"/>
  <c r="N177" i="1"/>
  <c r="M177" i="1"/>
  <c r="L177" i="1"/>
  <c r="K177" i="1"/>
  <c r="J177" i="1"/>
  <c r="I177" i="1"/>
  <c r="H177" i="1"/>
  <c r="Q176" i="1"/>
  <c r="P176" i="1"/>
  <c r="O176" i="1"/>
  <c r="N176" i="1"/>
  <c r="M176" i="1"/>
  <c r="L176" i="1"/>
  <c r="K176" i="1"/>
  <c r="J176" i="1"/>
  <c r="I176" i="1"/>
  <c r="H176" i="1"/>
  <c r="Q175" i="1"/>
  <c r="P175" i="1"/>
  <c r="O175" i="1"/>
  <c r="N175" i="1"/>
  <c r="M175" i="1"/>
  <c r="L175" i="1"/>
  <c r="K175" i="1"/>
  <c r="J175" i="1"/>
  <c r="I175" i="1"/>
  <c r="H175" i="1"/>
  <c r="Q174" i="1"/>
  <c r="P174" i="1"/>
  <c r="O174" i="1"/>
  <c r="N174" i="1"/>
  <c r="M174" i="1"/>
  <c r="L174" i="1"/>
  <c r="K174" i="1"/>
  <c r="J174" i="1"/>
  <c r="I174" i="1"/>
  <c r="H174" i="1"/>
  <c r="Q173" i="1"/>
  <c r="P173" i="1"/>
  <c r="O173" i="1"/>
  <c r="N173" i="1"/>
  <c r="M173" i="1"/>
  <c r="L173" i="1"/>
  <c r="K173" i="1"/>
  <c r="J173" i="1"/>
  <c r="I173" i="1"/>
  <c r="H173" i="1"/>
  <c r="Q172" i="1"/>
  <c r="P172" i="1"/>
  <c r="O172" i="1"/>
  <c r="N172" i="1"/>
  <c r="M172" i="1"/>
  <c r="L172" i="1"/>
  <c r="K172" i="1"/>
  <c r="J172" i="1"/>
  <c r="I172" i="1"/>
  <c r="H172" i="1"/>
  <c r="Q171" i="1"/>
  <c r="P171" i="1"/>
  <c r="O171" i="1"/>
  <c r="N171" i="1"/>
  <c r="M171" i="1"/>
  <c r="L171" i="1"/>
  <c r="K171" i="1"/>
  <c r="J171" i="1"/>
  <c r="I171" i="1"/>
  <c r="H171" i="1"/>
  <c r="Q170" i="1"/>
  <c r="P170" i="1"/>
  <c r="O170" i="1"/>
  <c r="N170" i="1"/>
  <c r="M170" i="1"/>
  <c r="L170" i="1"/>
  <c r="K170" i="1"/>
  <c r="J170" i="1"/>
  <c r="I170" i="1"/>
  <c r="H170" i="1"/>
  <c r="Q169" i="1"/>
  <c r="P169" i="1"/>
  <c r="O169" i="1"/>
  <c r="N169" i="1"/>
  <c r="M169" i="1"/>
  <c r="L169" i="1"/>
  <c r="K169" i="1"/>
  <c r="J169" i="1"/>
  <c r="I169" i="1"/>
  <c r="H169" i="1"/>
  <c r="Q168" i="1"/>
  <c r="P168" i="1"/>
  <c r="O168" i="1"/>
  <c r="N168" i="1"/>
  <c r="M168" i="1"/>
  <c r="L168" i="1"/>
  <c r="K168" i="1"/>
  <c r="J168" i="1"/>
  <c r="I168" i="1"/>
  <c r="H168" i="1"/>
  <c r="Q167" i="1"/>
  <c r="P167" i="1"/>
  <c r="O167" i="1"/>
  <c r="N167" i="1"/>
  <c r="M167" i="1"/>
  <c r="L167" i="1"/>
  <c r="K167" i="1"/>
  <c r="J167" i="1"/>
  <c r="I167" i="1"/>
  <c r="H167" i="1"/>
  <c r="Q166" i="1"/>
  <c r="P166" i="1"/>
  <c r="O166" i="1"/>
  <c r="N166" i="1"/>
  <c r="M166" i="1"/>
  <c r="L166" i="1"/>
  <c r="K166" i="1"/>
  <c r="J166" i="1"/>
  <c r="I166" i="1"/>
  <c r="H166" i="1"/>
  <c r="Q165" i="1"/>
  <c r="P165" i="1"/>
  <c r="O165" i="1"/>
  <c r="N165" i="1"/>
  <c r="M165" i="1"/>
  <c r="L165" i="1"/>
  <c r="K165" i="1"/>
  <c r="J165" i="1"/>
  <c r="I165" i="1"/>
  <c r="H165" i="1"/>
  <c r="Q164" i="1"/>
  <c r="P164" i="1"/>
  <c r="O164" i="1"/>
  <c r="N164" i="1"/>
  <c r="M164" i="1"/>
  <c r="L164" i="1"/>
  <c r="K164" i="1"/>
  <c r="J164" i="1"/>
  <c r="I164" i="1"/>
  <c r="H164" i="1"/>
  <c r="Q163" i="1"/>
  <c r="P163" i="1"/>
  <c r="O163" i="1"/>
  <c r="N163" i="1"/>
  <c r="M163" i="1"/>
  <c r="L163" i="1"/>
  <c r="K163" i="1"/>
  <c r="J163" i="1"/>
  <c r="I163" i="1"/>
  <c r="H163" i="1"/>
  <c r="Q162" i="1"/>
  <c r="P162" i="1"/>
  <c r="O162" i="1"/>
  <c r="N162" i="1"/>
  <c r="M162" i="1"/>
  <c r="L162" i="1"/>
  <c r="K162" i="1"/>
  <c r="J162" i="1"/>
  <c r="I162" i="1"/>
  <c r="H162" i="1"/>
  <c r="Q161" i="1"/>
  <c r="P161" i="1"/>
  <c r="O161" i="1"/>
  <c r="N161" i="1"/>
  <c r="M161" i="1"/>
  <c r="L161" i="1"/>
  <c r="K161" i="1"/>
  <c r="J161" i="1"/>
  <c r="I161" i="1"/>
  <c r="H161" i="1"/>
  <c r="Q160" i="1"/>
  <c r="P160" i="1"/>
  <c r="O160" i="1"/>
  <c r="N160" i="1"/>
  <c r="M160" i="1"/>
  <c r="L160" i="1"/>
  <c r="K160" i="1"/>
  <c r="J160" i="1"/>
  <c r="I160" i="1"/>
  <c r="H160" i="1"/>
  <c r="Q159" i="1"/>
  <c r="P159" i="1"/>
  <c r="O159" i="1"/>
  <c r="N159" i="1"/>
  <c r="M159" i="1"/>
  <c r="L159" i="1"/>
  <c r="K159" i="1"/>
  <c r="J159" i="1"/>
  <c r="I159" i="1"/>
  <c r="H159" i="1"/>
  <c r="Q158" i="1"/>
  <c r="P158" i="1"/>
  <c r="O158" i="1"/>
  <c r="N158" i="1"/>
  <c r="M158" i="1"/>
  <c r="L158" i="1"/>
  <c r="K158" i="1"/>
  <c r="J158" i="1"/>
  <c r="I158" i="1"/>
  <c r="H158" i="1"/>
  <c r="Q157" i="1"/>
  <c r="P157" i="1"/>
  <c r="O157" i="1"/>
  <c r="N157" i="1"/>
  <c r="M157" i="1"/>
  <c r="L157" i="1"/>
  <c r="K157" i="1"/>
  <c r="J157" i="1"/>
  <c r="I157" i="1"/>
  <c r="H157" i="1"/>
  <c r="Q156" i="1"/>
  <c r="P156" i="1"/>
  <c r="O156" i="1"/>
  <c r="N156" i="1"/>
  <c r="M156" i="1"/>
  <c r="L156" i="1"/>
  <c r="K156" i="1"/>
  <c r="J156" i="1"/>
  <c r="I156" i="1"/>
  <c r="Q155" i="1"/>
  <c r="P155" i="1"/>
  <c r="O155" i="1"/>
  <c r="N155" i="1"/>
  <c r="M155" i="1"/>
  <c r="L155" i="1"/>
  <c r="K155" i="1"/>
  <c r="J155" i="1"/>
  <c r="I155" i="1"/>
  <c r="H155" i="1"/>
  <c r="Q152" i="1"/>
  <c r="P152" i="1"/>
  <c r="O152" i="1"/>
  <c r="N152" i="1"/>
  <c r="M152" i="1"/>
  <c r="L152" i="1"/>
  <c r="Q151" i="1"/>
  <c r="P151" i="1"/>
  <c r="O151" i="1"/>
  <c r="N151" i="1"/>
  <c r="M151" i="1"/>
  <c r="L151" i="1"/>
  <c r="Q150" i="1"/>
  <c r="P150" i="1"/>
  <c r="O150" i="1"/>
  <c r="N150" i="1"/>
  <c r="M150" i="1"/>
  <c r="L150" i="1"/>
  <c r="Q149" i="1"/>
  <c r="P149" i="1"/>
  <c r="O149" i="1"/>
  <c r="N149" i="1"/>
  <c r="M149" i="1"/>
  <c r="L149" i="1"/>
  <c r="Q148" i="1"/>
  <c r="P148" i="1"/>
  <c r="O148" i="1"/>
  <c r="N148" i="1"/>
  <c r="M148" i="1"/>
  <c r="L148" i="1"/>
  <c r="Q147" i="1"/>
  <c r="P147" i="1"/>
  <c r="O147" i="1"/>
  <c r="N147" i="1"/>
  <c r="M147" i="1"/>
  <c r="L147" i="1"/>
  <c r="Q146" i="1"/>
  <c r="P146" i="1"/>
  <c r="O146" i="1"/>
  <c r="N146" i="1"/>
  <c r="M146" i="1"/>
  <c r="L146" i="1"/>
  <c r="Q145" i="1"/>
  <c r="P145" i="1"/>
  <c r="O145" i="1"/>
  <c r="N145" i="1"/>
  <c r="M145" i="1"/>
  <c r="L145" i="1"/>
  <c r="Q144" i="1"/>
  <c r="P144" i="1"/>
  <c r="O144" i="1"/>
  <c r="N144" i="1"/>
  <c r="M144" i="1"/>
  <c r="L144" i="1"/>
  <c r="Q143" i="1"/>
  <c r="P143" i="1"/>
  <c r="O143" i="1"/>
  <c r="N143" i="1"/>
  <c r="M143" i="1"/>
  <c r="L143" i="1"/>
  <c r="Q142" i="1"/>
  <c r="P142" i="1"/>
  <c r="O142" i="1"/>
  <c r="N142" i="1"/>
  <c r="M142" i="1"/>
  <c r="L142" i="1"/>
  <c r="Q141" i="1"/>
  <c r="P141" i="1"/>
  <c r="O141" i="1"/>
  <c r="N141" i="1"/>
  <c r="M141" i="1"/>
  <c r="L141" i="1"/>
  <c r="Q140" i="1"/>
  <c r="P140" i="1"/>
  <c r="O140" i="1"/>
  <c r="N140" i="1"/>
  <c r="M140" i="1"/>
  <c r="L140" i="1"/>
  <c r="Q139" i="1"/>
  <c r="P139" i="1"/>
  <c r="O139" i="1"/>
  <c r="N139" i="1"/>
  <c r="M139" i="1"/>
  <c r="L139" i="1"/>
  <c r="Q138" i="1"/>
  <c r="P138" i="1"/>
  <c r="O138" i="1"/>
  <c r="N138" i="1"/>
  <c r="M138" i="1"/>
  <c r="L138" i="1"/>
  <c r="Q137" i="1"/>
  <c r="P137" i="1"/>
  <c r="O137" i="1"/>
  <c r="N137" i="1"/>
  <c r="M137" i="1"/>
  <c r="L137" i="1"/>
  <c r="Q136" i="1"/>
  <c r="P136" i="1"/>
  <c r="O136" i="1"/>
  <c r="N136" i="1"/>
  <c r="M136" i="1"/>
  <c r="L136" i="1"/>
  <c r="Q135" i="1"/>
  <c r="P135" i="1"/>
  <c r="O135" i="1"/>
  <c r="N135" i="1"/>
  <c r="M135" i="1"/>
  <c r="L135" i="1"/>
  <c r="Q134" i="1"/>
  <c r="P134" i="1"/>
  <c r="O134" i="1"/>
  <c r="N134" i="1"/>
  <c r="M134" i="1"/>
  <c r="L134" i="1"/>
  <c r="Q133" i="1"/>
  <c r="P133" i="1"/>
  <c r="O133" i="1"/>
  <c r="N133" i="1"/>
  <c r="M133" i="1"/>
  <c r="L133" i="1"/>
  <c r="Q132" i="1"/>
  <c r="P132" i="1"/>
  <c r="O132" i="1"/>
  <c r="N132" i="1"/>
  <c r="M132" i="1"/>
  <c r="L132" i="1"/>
  <c r="Q131" i="1"/>
  <c r="P131" i="1"/>
  <c r="O131" i="1"/>
  <c r="N131" i="1"/>
  <c r="M131" i="1"/>
  <c r="L131" i="1"/>
  <c r="Q130" i="1"/>
  <c r="P130" i="1"/>
  <c r="O130" i="1"/>
  <c r="N130" i="1"/>
  <c r="M130" i="1"/>
  <c r="L130" i="1"/>
  <c r="Q129" i="1"/>
  <c r="P129" i="1"/>
  <c r="O129" i="1"/>
  <c r="N129" i="1"/>
  <c r="M129" i="1"/>
  <c r="L129" i="1"/>
  <c r="Q128" i="1"/>
  <c r="P128" i="1"/>
  <c r="O128" i="1"/>
  <c r="N128" i="1"/>
  <c r="M128" i="1"/>
  <c r="L128" i="1"/>
  <c r="Q127" i="1"/>
  <c r="P127" i="1"/>
  <c r="O127" i="1"/>
  <c r="N127" i="1"/>
  <c r="M127" i="1"/>
  <c r="L127" i="1"/>
  <c r="Q126" i="1"/>
  <c r="P126" i="1"/>
  <c r="O126" i="1"/>
  <c r="N126" i="1"/>
  <c r="M126" i="1"/>
  <c r="L126" i="1"/>
  <c r="Q125" i="1"/>
  <c r="P125" i="1"/>
  <c r="O125" i="1"/>
  <c r="N125" i="1"/>
  <c r="M125" i="1"/>
  <c r="L125" i="1"/>
  <c r="Q124" i="1"/>
  <c r="P124" i="1"/>
  <c r="O124" i="1"/>
  <c r="N124" i="1"/>
  <c r="M124" i="1"/>
  <c r="L124" i="1"/>
  <c r="Q123" i="1"/>
  <c r="P123" i="1"/>
  <c r="O123" i="1"/>
  <c r="N123" i="1"/>
  <c r="M123" i="1"/>
  <c r="L123" i="1"/>
  <c r="Q122" i="1"/>
  <c r="P122" i="1"/>
  <c r="O122" i="1"/>
  <c r="N122" i="1"/>
  <c r="M122" i="1"/>
  <c r="L122" i="1"/>
  <c r="Q121" i="1"/>
  <c r="P121" i="1"/>
  <c r="O121" i="1"/>
  <c r="N121" i="1"/>
  <c r="M121" i="1"/>
  <c r="L121" i="1"/>
  <c r="Q120" i="1"/>
  <c r="P120" i="1"/>
  <c r="O120" i="1"/>
  <c r="N120" i="1"/>
  <c r="M120" i="1"/>
  <c r="L120" i="1"/>
  <c r="Q119" i="1"/>
  <c r="P119" i="1"/>
  <c r="O119" i="1"/>
  <c r="N119" i="1"/>
  <c r="M119" i="1"/>
  <c r="L119" i="1"/>
  <c r="Q118" i="1"/>
  <c r="P118" i="1"/>
  <c r="O118" i="1"/>
  <c r="N118" i="1"/>
  <c r="M118" i="1"/>
  <c r="L118" i="1"/>
  <c r="Q117" i="1"/>
  <c r="P117" i="1"/>
  <c r="O117" i="1"/>
  <c r="N117" i="1"/>
  <c r="M117" i="1"/>
  <c r="L117" i="1"/>
  <c r="Q116" i="1"/>
  <c r="P116" i="1"/>
  <c r="O116" i="1"/>
  <c r="N116" i="1"/>
  <c r="M116" i="1"/>
  <c r="L116" i="1"/>
  <c r="Q115" i="1"/>
  <c r="P115" i="1"/>
  <c r="O115" i="1"/>
  <c r="N115" i="1"/>
  <c r="M115" i="1"/>
  <c r="L115" i="1"/>
  <c r="Q114" i="1"/>
  <c r="P114" i="1"/>
  <c r="O114" i="1"/>
  <c r="N114" i="1"/>
  <c r="M114" i="1"/>
  <c r="L114" i="1"/>
  <c r="Q113" i="1"/>
  <c r="P113" i="1"/>
  <c r="O113" i="1"/>
  <c r="N113" i="1"/>
  <c r="M113" i="1"/>
  <c r="L113" i="1"/>
  <c r="Q112" i="1"/>
  <c r="P112" i="1"/>
  <c r="O112" i="1"/>
  <c r="N112" i="1"/>
  <c r="M112" i="1"/>
  <c r="L112" i="1"/>
  <c r="Q111" i="1"/>
  <c r="P111" i="1"/>
  <c r="O111" i="1"/>
  <c r="N111" i="1"/>
  <c r="M111" i="1"/>
  <c r="L111" i="1"/>
  <c r="Q110" i="1"/>
  <c r="P110" i="1"/>
  <c r="O110" i="1"/>
  <c r="N110" i="1"/>
  <c r="M110" i="1"/>
  <c r="L110" i="1"/>
  <c r="Q109" i="1"/>
  <c r="P109" i="1"/>
  <c r="O109" i="1"/>
  <c r="N109" i="1"/>
  <c r="M109" i="1"/>
  <c r="L109" i="1"/>
  <c r="Q108" i="1"/>
  <c r="P108" i="1"/>
  <c r="O108" i="1"/>
  <c r="N108" i="1"/>
  <c r="M108" i="1"/>
  <c r="L108" i="1"/>
  <c r="Q107" i="1"/>
  <c r="P107" i="1"/>
  <c r="O107" i="1"/>
  <c r="N107" i="1"/>
  <c r="M107" i="1"/>
  <c r="L107" i="1"/>
  <c r="Q106" i="1"/>
  <c r="P106" i="1"/>
  <c r="O106" i="1"/>
  <c r="N106" i="1"/>
  <c r="M106" i="1"/>
  <c r="L106" i="1"/>
  <c r="Q105" i="1"/>
  <c r="P105" i="1"/>
  <c r="O105" i="1"/>
  <c r="N105" i="1"/>
  <c r="M105" i="1"/>
  <c r="L105" i="1"/>
  <c r="Q104" i="1"/>
  <c r="P104" i="1"/>
  <c r="O104" i="1"/>
  <c r="N104" i="1"/>
  <c r="M104" i="1"/>
  <c r="L104" i="1"/>
  <c r="Q101" i="1"/>
  <c r="P101" i="1"/>
  <c r="O101" i="1"/>
  <c r="N101" i="1"/>
  <c r="M101" i="1"/>
  <c r="L101" i="1"/>
  <c r="Q100" i="1"/>
  <c r="P100" i="1"/>
  <c r="O100" i="1"/>
  <c r="N100" i="1"/>
  <c r="M100" i="1"/>
  <c r="L100" i="1"/>
  <c r="Q99" i="1"/>
  <c r="P99" i="1"/>
  <c r="O99" i="1"/>
  <c r="N99" i="1"/>
  <c r="M99" i="1"/>
  <c r="L99" i="1"/>
  <c r="Q98" i="1"/>
  <c r="P98" i="1"/>
  <c r="O98" i="1"/>
  <c r="N98" i="1"/>
  <c r="M98" i="1"/>
  <c r="L98" i="1"/>
  <c r="Q97" i="1"/>
  <c r="P97" i="1"/>
  <c r="O97" i="1"/>
  <c r="N97" i="1"/>
  <c r="M97" i="1"/>
  <c r="L97" i="1"/>
  <c r="Q96" i="1"/>
  <c r="P96" i="1"/>
  <c r="O96" i="1"/>
  <c r="N96" i="1"/>
  <c r="M96" i="1"/>
  <c r="L96" i="1"/>
  <c r="Q95" i="1"/>
  <c r="P95" i="1"/>
  <c r="O95" i="1"/>
  <c r="N95" i="1"/>
  <c r="M95" i="1"/>
  <c r="L95" i="1"/>
  <c r="Q94" i="1"/>
  <c r="P94" i="1"/>
  <c r="O94" i="1"/>
  <c r="N94" i="1"/>
  <c r="M94" i="1"/>
  <c r="L94" i="1"/>
  <c r="Q93" i="1"/>
  <c r="P93" i="1"/>
  <c r="O93" i="1"/>
  <c r="N93" i="1"/>
  <c r="M93" i="1"/>
  <c r="L93" i="1"/>
  <c r="Q92" i="1"/>
  <c r="P92" i="1"/>
  <c r="O92" i="1"/>
  <c r="N92" i="1"/>
  <c r="M92" i="1"/>
  <c r="L92" i="1"/>
  <c r="Q91" i="1"/>
  <c r="P91" i="1"/>
  <c r="O91" i="1"/>
  <c r="N91" i="1"/>
  <c r="M91" i="1"/>
  <c r="L91" i="1"/>
  <c r="Q90" i="1"/>
  <c r="P90" i="1"/>
  <c r="O90" i="1"/>
  <c r="N90" i="1"/>
  <c r="M90" i="1"/>
  <c r="L90" i="1"/>
  <c r="Q89" i="1"/>
  <c r="P89" i="1"/>
  <c r="O89" i="1"/>
  <c r="N89" i="1"/>
  <c r="M89" i="1"/>
  <c r="L89" i="1"/>
  <c r="Q88" i="1"/>
  <c r="P88" i="1"/>
  <c r="O88" i="1"/>
  <c r="N88" i="1"/>
  <c r="M88" i="1"/>
  <c r="L88" i="1"/>
  <c r="Q87" i="1"/>
  <c r="P87" i="1"/>
  <c r="O87" i="1"/>
  <c r="N87" i="1"/>
  <c r="M87" i="1"/>
  <c r="L87" i="1"/>
  <c r="Q86" i="1"/>
  <c r="P86" i="1"/>
  <c r="O86" i="1"/>
  <c r="N86" i="1"/>
  <c r="M86" i="1"/>
  <c r="L86" i="1"/>
  <c r="Q85" i="1"/>
  <c r="P85" i="1"/>
  <c r="O85" i="1"/>
  <c r="N85" i="1"/>
  <c r="M85" i="1"/>
  <c r="L85" i="1"/>
  <c r="Q84" i="1"/>
  <c r="P84" i="1"/>
  <c r="O84" i="1"/>
  <c r="N84" i="1"/>
  <c r="M84" i="1"/>
  <c r="L84" i="1"/>
  <c r="Q83" i="1"/>
  <c r="P83" i="1"/>
  <c r="O83" i="1"/>
  <c r="N83" i="1"/>
  <c r="M83" i="1"/>
  <c r="L83" i="1"/>
  <c r="Q82" i="1"/>
  <c r="P82" i="1"/>
  <c r="O82" i="1"/>
  <c r="N82" i="1"/>
  <c r="M82" i="1"/>
  <c r="L82" i="1"/>
  <c r="Q81" i="1"/>
  <c r="P81" i="1"/>
  <c r="O81" i="1"/>
  <c r="N81" i="1"/>
  <c r="M81" i="1"/>
  <c r="L81" i="1"/>
  <c r="Q80" i="1"/>
  <c r="P80" i="1"/>
  <c r="O80" i="1"/>
  <c r="N80" i="1"/>
  <c r="M80" i="1"/>
  <c r="L80" i="1"/>
  <c r="Q79" i="1"/>
  <c r="P79" i="1"/>
  <c r="O79" i="1"/>
  <c r="N79" i="1"/>
  <c r="M79" i="1"/>
  <c r="L79" i="1"/>
  <c r="Q78" i="1"/>
  <c r="P78" i="1"/>
  <c r="O78" i="1"/>
  <c r="N78" i="1"/>
  <c r="M78" i="1"/>
  <c r="L78" i="1"/>
  <c r="Q77" i="1"/>
  <c r="P77" i="1"/>
  <c r="O77" i="1"/>
  <c r="N77" i="1"/>
  <c r="M77" i="1"/>
  <c r="L77" i="1"/>
  <c r="Q76" i="1"/>
  <c r="P76" i="1"/>
  <c r="O76" i="1"/>
  <c r="N76" i="1"/>
  <c r="M76" i="1"/>
  <c r="L76" i="1"/>
  <c r="Q75" i="1"/>
  <c r="P75" i="1"/>
  <c r="O75" i="1"/>
  <c r="N75" i="1"/>
  <c r="M75" i="1"/>
  <c r="L75" i="1"/>
  <c r="Q73" i="1"/>
  <c r="P73" i="1"/>
  <c r="O73" i="1"/>
  <c r="N73" i="1"/>
  <c r="M73" i="1"/>
  <c r="L73" i="1"/>
  <c r="Q72" i="1"/>
  <c r="P72" i="1"/>
  <c r="O72" i="1"/>
  <c r="N72" i="1"/>
  <c r="M72" i="1"/>
  <c r="L72" i="1"/>
  <c r="Q71" i="1"/>
  <c r="P71" i="1"/>
  <c r="O71" i="1"/>
  <c r="N71" i="1"/>
  <c r="M71" i="1"/>
  <c r="L71" i="1"/>
  <c r="Q70" i="1"/>
  <c r="P70" i="1"/>
  <c r="O70" i="1"/>
  <c r="N70" i="1"/>
  <c r="M70" i="1"/>
  <c r="L70" i="1"/>
  <c r="Q69" i="1"/>
  <c r="P69" i="1"/>
  <c r="O69" i="1"/>
  <c r="N69" i="1"/>
  <c r="M69" i="1"/>
  <c r="L69" i="1"/>
  <c r="Q68" i="1"/>
  <c r="P68" i="1"/>
  <c r="O68" i="1"/>
  <c r="N68" i="1"/>
  <c r="M68" i="1"/>
  <c r="L68" i="1"/>
  <c r="Q67" i="1"/>
  <c r="P67" i="1"/>
  <c r="O67" i="1"/>
  <c r="N67" i="1"/>
  <c r="M67" i="1"/>
  <c r="L67" i="1"/>
  <c r="Q66" i="1"/>
  <c r="P66" i="1"/>
  <c r="O66" i="1"/>
  <c r="N66" i="1"/>
  <c r="M66" i="1"/>
  <c r="L66" i="1"/>
  <c r="Q63" i="1"/>
  <c r="P63" i="1"/>
  <c r="O63" i="1"/>
  <c r="N63" i="1"/>
  <c r="M63" i="1"/>
  <c r="L63" i="1"/>
  <c r="Q62" i="1"/>
  <c r="P62" i="1"/>
  <c r="O62" i="1"/>
  <c r="N62" i="1"/>
  <c r="M62" i="1"/>
  <c r="L62" i="1"/>
  <c r="Q61" i="1"/>
  <c r="P61" i="1"/>
  <c r="O61" i="1"/>
  <c r="N61" i="1"/>
  <c r="M61" i="1"/>
  <c r="L61" i="1"/>
  <c r="Q60" i="1"/>
  <c r="P60" i="1"/>
  <c r="O60" i="1"/>
  <c r="N60" i="1"/>
  <c r="M60" i="1"/>
  <c r="L60" i="1"/>
  <c r="Q59" i="1"/>
  <c r="P59" i="1"/>
  <c r="O59" i="1"/>
  <c r="N59" i="1"/>
  <c r="M59" i="1"/>
  <c r="L59" i="1"/>
  <c r="Q58" i="1"/>
  <c r="P58" i="1"/>
  <c r="O58" i="1"/>
  <c r="N58" i="1"/>
  <c r="M58" i="1"/>
  <c r="L58" i="1"/>
  <c r="Q57" i="1"/>
  <c r="P57" i="1"/>
  <c r="O57" i="1"/>
  <c r="N57" i="1"/>
  <c r="M57" i="1"/>
  <c r="L57" i="1"/>
  <c r="Q56" i="1"/>
  <c r="P56" i="1"/>
  <c r="O56" i="1"/>
  <c r="N56" i="1"/>
  <c r="M56" i="1"/>
  <c r="L56" i="1"/>
  <c r="Q55" i="1"/>
  <c r="P55" i="1"/>
  <c r="O55" i="1"/>
  <c r="N55" i="1"/>
  <c r="M55" i="1"/>
  <c r="L55" i="1"/>
  <c r="Q54" i="1"/>
  <c r="P54" i="1"/>
  <c r="O54" i="1"/>
  <c r="N54" i="1"/>
  <c r="M54" i="1"/>
  <c r="L54" i="1"/>
  <c r="Q53" i="1"/>
  <c r="P53" i="1"/>
  <c r="O53" i="1"/>
  <c r="N53" i="1"/>
  <c r="M53" i="1"/>
  <c r="L53" i="1"/>
  <c r="Q52" i="1"/>
  <c r="P52" i="1"/>
  <c r="O52" i="1"/>
  <c r="N52" i="1"/>
  <c r="M52" i="1"/>
  <c r="L52" i="1"/>
  <c r="Q51" i="1"/>
  <c r="P51" i="1"/>
  <c r="O51" i="1"/>
  <c r="N51" i="1"/>
  <c r="M51" i="1"/>
  <c r="L51" i="1"/>
  <c r="Q50" i="1"/>
  <c r="P50" i="1"/>
  <c r="O50" i="1"/>
  <c r="N50" i="1"/>
  <c r="M50" i="1"/>
  <c r="L50" i="1"/>
  <c r="Q49" i="1"/>
  <c r="P49" i="1"/>
  <c r="O49" i="1"/>
  <c r="N49" i="1"/>
  <c r="M49" i="1"/>
  <c r="L49" i="1"/>
  <c r="Q48" i="1"/>
  <c r="P48" i="1"/>
  <c r="O48" i="1"/>
  <c r="N48" i="1"/>
  <c r="M48" i="1"/>
  <c r="L48" i="1"/>
  <c r="Q47" i="1"/>
  <c r="P47" i="1"/>
  <c r="O47" i="1"/>
  <c r="N47" i="1"/>
  <c r="M47" i="1"/>
  <c r="L47" i="1"/>
  <c r="Q46" i="1"/>
  <c r="P46" i="1"/>
  <c r="O46" i="1"/>
  <c r="N46" i="1"/>
  <c r="M46" i="1"/>
  <c r="L46" i="1"/>
  <c r="Q45" i="1"/>
  <c r="P45" i="1"/>
  <c r="O45" i="1"/>
  <c r="N45" i="1"/>
  <c r="M45" i="1"/>
  <c r="L45" i="1"/>
  <c r="Q44" i="1"/>
  <c r="P44" i="1"/>
  <c r="O44" i="1"/>
  <c r="N44" i="1"/>
  <c r="M44" i="1"/>
  <c r="L44" i="1"/>
  <c r="Q43" i="1"/>
  <c r="P43" i="1"/>
  <c r="O43" i="1"/>
  <c r="N43" i="1"/>
  <c r="M43" i="1"/>
  <c r="L43" i="1"/>
  <c r="Q42" i="1"/>
  <c r="P42" i="1"/>
  <c r="O42" i="1"/>
  <c r="N42" i="1"/>
  <c r="M42" i="1"/>
  <c r="L42" i="1"/>
  <c r="Q41" i="1"/>
  <c r="P41" i="1"/>
  <c r="O41" i="1"/>
  <c r="N41" i="1"/>
  <c r="M41" i="1"/>
  <c r="L41" i="1"/>
  <c r="Q40" i="1"/>
  <c r="P40" i="1"/>
  <c r="O40" i="1"/>
  <c r="N40" i="1"/>
  <c r="M40" i="1"/>
  <c r="L40" i="1"/>
  <c r="Q39" i="1"/>
  <c r="P39" i="1"/>
  <c r="O39" i="1"/>
  <c r="N39" i="1"/>
  <c r="M39" i="1"/>
  <c r="L39" i="1"/>
  <c r="Q38" i="1"/>
  <c r="P38" i="1"/>
  <c r="O38" i="1"/>
  <c r="N38" i="1"/>
  <c r="M38" i="1"/>
  <c r="L38" i="1"/>
  <c r="Q37" i="1"/>
  <c r="P37" i="1"/>
  <c r="O37" i="1"/>
  <c r="N37" i="1"/>
  <c r="M37" i="1"/>
  <c r="L37" i="1"/>
  <c r="Q36" i="1"/>
  <c r="P36" i="1"/>
  <c r="O36" i="1"/>
  <c r="N36" i="1"/>
  <c r="M36" i="1"/>
  <c r="L36" i="1"/>
  <c r="Q35" i="1"/>
  <c r="P35" i="1"/>
  <c r="O35" i="1"/>
  <c r="N35" i="1"/>
  <c r="M35" i="1"/>
  <c r="L35" i="1"/>
  <c r="Q34" i="1"/>
  <c r="P34" i="1"/>
  <c r="O34" i="1"/>
  <c r="N34" i="1"/>
  <c r="M34" i="1"/>
  <c r="L34" i="1"/>
  <c r="Q33" i="1"/>
  <c r="P33" i="1"/>
  <c r="O33" i="1"/>
  <c r="N33" i="1"/>
  <c r="M33" i="1"/>
  <c r="L33" i="1"/>
  <c r="Q32" i="1"/>
  <c r="P32" i="1"/>
  <c r="O32" i="1"/>
  <c r="N32" i="1"/>
  <c r="M32" i="1"/>
  <c r="L32" i="1"/>
  <c r="Q31" i="1"/>
  <c r="P31" i="1"/>
  <c r="O31" i="1"/>
  <c r="N31" i="1"/>
  <c r="M31" i="1"/>
  <c r="L31" i="1"/>
  <c r="Q30" i="1"/>
  <c r="P30" i="1"/>
  <c r="O30" i="1"/>
  <c r="N30" i="1"/>
  <c r="M30" i="1"/>
  <c r="L30" i="1"/>
  <c r="Q29" i="1"/>
  <c r="P29" i="1"/>
  <c r="O29" i="1"/>
  <c r="N29" i="1"/>
  <c r="M29" i="1"/>
  <c r="L29" i="1"/>
  <c r="Q28" i="1"/>
  <c r="P28" i="1"/>
  <c r="O28" i="1"/>
  <c r="N28" i="1"/>
  <c r="M28" i="1"/>
  <c r="L28" i="1"/>
  <c r="Q27" i="1"/>
  <c r="P27" i="1"/>
  <c r="O27" i="1"/>
  <c r="N27" i="1"/>
  <c r="M27" i="1"/>
  <c r="L27" i="1"/>
  <c r="Q26" i="1"/>
  <c r="P26" i="1"/>
  <c r="O26" i="1"/>
  <c r="N26" i="1"/>
  <c r="M26" i="1"/>
  <c r="L26" i="1"/>
  <c r="Q25" i="1"/>
  <c r="P25" i="1"/>
  <c r="O25" i="1"/>
  <c r="N25" i="1"/>
  <c r="M25" i="1"/>
  <c r="L25" i="1"/>
  <c r="Q24" i="1"/>
  <c r="P24" i="1"/>
  <c r="O24" i="1"/>
  <c r="N24" i="1"/>
  <c r="M24" i="1"/>
  <c r="L24" i="1"/>
  <c r="Q23" i="1"/>
  <c r="P23" i="1"/>
  <c r="O23" i="1"/>
  <c r="N23" i="1"/>
  <c r="M23" i="1"/>
  <c r="L23" i="1"/>
  <c r="K152" i="1"/>
  <c r="J152" i="1"/>
  <c r="I152" i="1"/>
  <c r="H152" i="1"/>
  <c r="K151" i="1"/>
  <c r="J151" i="1"/>
  <c r="I151" i="1"/>
  <c r="H151" i="1"/>
  <c r="K150" i="1"/>
  <c r="J150" i="1"/>
  <c r="I150" i="1"/>
  <c r="H150" i="1"/>
  <c r="K149" i="1"/>
  <c r="J149" i="1"/>
  <c r="I149" i="1"/>
  <c r="H149" i="1"/>
  <c r="K148" i="1"/>
  <c r="J148" i="1"/>
  <c r="I148" i="1"/>
  <c r="H148" i="1"/>
  <c r="K147" i="1"/>
  <c r="J147" i="1"/>
  <c r="I147" i="1"/>
  <c r="H147" i="1"/>
  <c r="K146" i="1"/>
  <c r="J146" i="1"/>
  <c r="I146" i="1"/>
  <c r="H146" i="1"/>
  <c r="K145" i="1"/>
  <c r="J145" i="1"/>
  <c r="I145" i="1"/>
  <c r="H145" i="1"/>
  <c r="K144" i="1"/>
  <c r="J144" i="1"/>
  <c r="I144" i="1"/>
  <c r="H144" i="1"/>
  <c r="K143" i="1"/>
  <c r="J143" i="1"/>
  <c r="I143" i="1"/>
  <c r="H143" i="1"/>
  <c r="K142" i="1"/>
  <c r="J142" i="1"/>
  <c r="I142" i="1"/>
  <c r="H142" i="1"/>
  <c r="K141" i="1"/>
  <c r="J141" i="1"/>
  <c r="I141" i="1"/>
  <c r="H141" i="1"/>
  <c r="K140" i="1"/>
  <c r="J140" i="1"/>
  <c r="I140" i="1"/>
  <c r="H140" i="1"/>
  <c r="K139" i="1"/>
  <c r="J139" i="1"/>
  <c r="I139" i="1"/>
  <c r="H139" i="1"/>
  <c r="K138" i="1"/>
  <c r="J138" i="1"/>
  <c r="I138" i="1"/>
  <c r="H138" i="1"/>
  <c r="K137" i="1"/>
  <c r="J137" i="1"/>
  <c r="I137" i="1"/>
  <c r="H137" i="1"/>
  <c r="K136" i="1"/>
  <c r="J136" i="1"/>
  <c r="I136" i="1"/>
  <c r="H136" i="1"/>
  <c r="K135" i="1"/>
  <c r="J135" i="1"/>
  <c r="I135" i="1"/>
  <c r="H135" i="1"/>
  <c r="K134" i="1"/>
  <c r="J134" i="1"/>
  <c r="I134" i="1"/>
  <c r="H134" i="1"/>
  <c r="K133" i="1"/>
  <c r="J133" i="1"/>
  <c r="I133" i="1"/>
  <c r="H133" i="1"/>
  <c r="K132" i="1"/>
  <c r="J132" i="1"/>
  <c r="I132" i="1"/>
  <c r="H132" i="1"/>
  <c r="K131" i="1"/>
  <c r="J131" i="1"/>
  <c r="I131" i="1"/>
  <c r="H131" i="1"/>
  <c r="K130" i="1"/>
  <c r="J130" i="1"/>
  <c r="I130" i="1"/>
  <c r="H130" i="1"/>
  <c r="K129" i="1"/>
  <c r="J129" i="1"/>
  <c r="I129" i="1"/>
  <c r="H129" i="1"/>
  <c r="K128" i="1"/>
  <c r="J128" i="1"/>
  <c r="I128" i="1"/>
  <c r="H128" i="1"/>
  <c r="K127" i="1"/>
  <c r="J127" i="1"/>
  <c r="I127" i="1"/>
  <c r="H127" i="1"/>
  <c r="K126" i="1"/>
  <c r="J126" i="1"/>
  <c r="I126" i="1"/>
  <c r="H126" i="1"/>
  <c r="K125" i="1"/>
  <c r="J125" i="1"/>
  <c r="I125" i="1"/>
  <c r="H125" i="1"/>
  <c r="K124" i="1"/>
  <c r="J124" i="1"/>
  <c r="I124" i="1"/>
  <c r="H124" i="1"/>
  <c r="K123" i="1"/>
  <c r="J123" i="1"/>
  <c r="I123" i="1"/>
  <c r="H123" i="1"/>
  <c r="K122" i="1"/>
  <c r="J122" i="1"/>
  <c r="I122" i="1"/>
  <c r="H122" i="1"/>
  <c r="K121" i="1"/>
  <c r="J121" i="1"/>
  <c r="I121" i="1"/>
  <c r="H121" i="1"/>
  <c r="K120" i="1"/>
  <c r="J120" i="1"/>
  <c r="I120" i="1"/>
  <c r="H120" i="1"/>
  <c r="K119" i="1"/>
  <c r="J119" i="1"/>
  <c r="I119" i="1"/>
  <c r="H119" i="1"/>
  <c r="K118" i="1"/>
  <c r="J118" i="1"/>
  <c r="I118" i="1"/>
  <c r="H118" i="1"/>
  <c r="K117" i="1"/>
  <c r="J117" i="1"/>
  <c r="I117" i="1"/>
  <c r="H117" i="1"/>
  <c r="K116" i="1"/>
  <c r="J116" i="1"/>
  <c r="I116" i="1"/>
  <c r="H116" i="1"/>
  <c r="K115" i="1"/>
  <c r="J115" i="1"/>
  <c r="I115" i="1"/>
  <c r="H115" i="1"/>
  <c r="K114" i="1"/>
  <c r="J114" i="1"/>
  <c r="I114" i="1"/>
  <c r="H114" i="1"/>
  <c r="K113" i="1"/>
  <c r="J113" i="1"/>
  <c r="I113" i="1"/>
  <c r="H113" i="1"/>
  <c r="K112" i="1"/>
  <c r="J112" i="1"/>
  <c r="I112" i="1"/>
  <c r="H112" i="1"/>
  <c r="K111" i="1"/>
  <c r="J111" i="1"/>
  <c r="I111" i="1"/>
  <c r="H111" i="1"/>
  <c r="K110" i="1"/>
  <c r="J110" i="1"/>
  <c r="I110" i="1"/>
  <c r="H110" i="1"/>
  <c r="K109" i="1"/>
  <c r="J109" i="1"/>
  <c r="I109" i="1"/>
  <c r="H109" i="1"/>
  <c r="K108" i="1"/>
  <c r="J108" i="1"/>
  <c r="I108" i="1"/>
  <c r="H108" i="1"/>
  <c r="K107" i="1"/>
  <c r="J107" i="1"/>
  <c r="I107" i="1"/>
  <c r="H107" i="1"/>
  <c r="K106" i="1"/>
  <c r="J106" i="1"/>
  <c r="I106" i="1"/>
  <c r="H106" i="1"/>
  <c r="K105" i="1"/>
  <c r="J105" i="1"/>
  <c r="I105" i="1"/>
  <c r="H105" i="1"/>
  <c r="K104" i="1"/>
  <c r="J104" i="1"/>
  <c r="J153" i="1" s="1"/>
  <c r="I104" i="1"/>
  <c r="I153" i="1" s="1"/>
  <c r="H104" i="1"/>
  <c r="K101" i="1"/>
  <c r="J101" i="1"/>
  <c r="I101" i="1"/>
  <c r="H101" i="1"/>
  <c r="K100" i="1"/>
  <c r="J100" i="1"/>
  <c r="I100" i="1"/>
  <c r="H100" i="1"/>
  <c r="K99" i="1"/>
  <c r="J99" i="1"/>
  <c r="I99" i="1"/>
  <c r="H99" i="1"/>
  <c r="K98" i="1"/>
  <c r="J98" i="1"/>
  <c r="I98" i="1"/>
  <c r="H98" i="1"/>
  <c r="K97" i="1"/>
  <c r="J97" i="1"/>
  <c r="I97" i="1"/>
  <c r="H97" i="1"/>
  <c r="K96" i="1"/>
  <c r="J96" i="1"/>
  <c r="I96" i="1"/>
  <c r="H96" i="1"/>
  <c r="K95" i="1"/>
  <c r="J95" i="1"/>
  <c r="I95" i="1"/>
  <c r="H95" i="1"/>
  <c r="K94" i="1"/>
  <c r="J94" i="1"/>
  <c r="I94" i="1"/>
  <c r="H94" i="1"/>
  <c r="K93" i="1"/>
  <c r="J93" i="1"/>
  <c r="I93" i="1"/>
  <c r="H93" i="1"/>
  <c r="K92" i="1"/>
  <c r="J92" i="1"/>
  <c r="I92" i="1"/>
  <c r="H92" i="1"/>
  <c r="K91" i="1"/>
  <c r="J91" i="1"/>
  <c r="I91" i="1"/>
  <c r="H91" i="1"/>
  <c r="K90" i="1"/>
  <c r="J90" i="1"/>
  <c r="I90" i="1"/>
  <c r="H90" i="1"/>
  <c r="K89" i="1"/>
  <c r="J89" i="1"/>
  <c r="I89" i="1"/>
  <c r="H89" i="1"/>
  <c r="K88" i="1"/>
  <c r="J88" i="1"/>
  <c r="I88" i="1"/>
  <c r="H88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76" i="1"/>
  <c r="J76" i="1"/>
  <c r="I76" i="1"/>
  <c r="H76" i="1"/>
  <c r="K75" i="1"/>
  <c r="J75" i="1"/>
  <c r="I75" i="1"/>
  <c r="H75" i="1"/>
  <c r="K73" i="1"/>
  <c r="J73" i="1"/>
  <c r="I73" i="1"/>
  <c r="H73" i="1"/>
  <c r="K72" i="1"/>
  <c r="J72" i="1"/>
  <c r="I72" i="1"/>
  <c r="H72" i="1"/>
  <c r="K71" i="1"/>
  <c r="J71" i="1"/>
  <c r="I71" i="1"/>
  <c r="H71" i="1"/>
  <c r="K70" i="1"/>
  <c r="J70" i="1"/>
  <c r="I70" i="1"/>
  <c r="H70" i="1"/>
  <c r="K69" i="1"/>
  <c r="J69" i="1"/>
  <c r="I69" i="1"/>
  <c r="H69" i="1"/>
  <c r="K68" i="1"/>
  <c r="J68" i="1"/>
  <c r="I68" i="1"/>
  <c r="H68" i="1"/>
  <c r="K67" i="1"/>
  <c r="J67" i="1"/>
  <c r="I67" i="1"/>
  <c r="H67" i="1"/>
  <c r="K66" i="1"/>
  <c r="J66" i="1"/>
  <c r="J102" i="1" s="1"/>
  <c r="I66" i="1"/>
  <c r="I102" i="1" s="1"/>
  <c r="H66" i="1"/>
  <c r="H102" i="1" s="1"/>
  <c r="H24" i="1"/>
  <c r="I24" i="1"/>
  <c r="J24" i="1"/>
  <c r="K24" i="1"/>
  <c r="H25" i="1"/>
  <c r="I25" i="1"/>
  <c r="J25" i="1"/>
  <c r="K25" i="1"/>
  <c r="H26" i="1"/>
  <c r="I26" i="1"/>
  <c r="J26" i="1"/>
  <c r="K26" i="1"/>
  <c r="H27" i="1"/>
  <c r="I27" i="1"/>
  <c r="J27" i="1"/>
  <c r="K27" i="1"/>
  <c r="H28" i="1"/>
  <c r="I28" i="1"/>
  <c r="J28" i="1"/>
  <c r="K28" i="1"/>
  <c r="H29" i="1"/>
  <c r="I29" i="1"/>
  <c r="J29" i="1"/>
  <c r="K29" i="1"/>
  <c r="H30" i="1"/>
  <c r="I30" i="1"/>
  <c r="J30" i="1"/>
  <c r="K30" i="1"/>
  <c r="H31" i="1"/>
  <c r="I31" i="1"/>
  <c r="J31" i="1"/>
  <c r="K31" i="1"/>
  <c r="H32" i="1"/>
  <c r="I32" i="1"/>
  <c r="J32" i="1"/>
  <c r="K32" i="1"/>
  <c r="H33" i="1"/>
  <c r="I33" i="1"/>
  <c r="J33" i="1"/>
  <c r="K33" i="1"/>
  <c r="H34" i="1"/>
  <c r="I34" i="1"/>
  <c r="J34" i="1"/>
  <c r="K34" i="1"/>
  <c r="H35" i="1"/>
  <c r="I35" i="1"/>
  <c r="J35" i="1"/>
  <c r="K35" i="1"/>
  <c r="H36" i="1"/>
  <c r="I36" i="1"/>
  <c r="J36" i="1"/>
  <c r="K36" i="1"/>
  <c r="H37" i="1"/>
  <c r="I37" i="1"/>
  <c r="J37" i="1"/>
  <c r="K37" i="1"/>
  <c r="H38" i="1"/>
  <c r="I38" i="1"/>
  <c r="J38" i="1"/>
  <c r="K38" i="1"/>
  <c r="H39" i="1"/>
  <c r="I39" i="1"/>
  <c r="J39" i="1"/>
  <c r="K39" i="1"/>
  <c r="H40" i="1"/>
  <c r="I40" i="1"/>
  <c r="J40" i="1"/>
  <c r="K40" i="1"/>
  <c r="H41" i="1"/>
  <c r="I41" i="1"/>
  <c r="J41" i="1"/>
  <c r="K41" i="1"/>
  <c r="H42" i="1"/>
  <c r="I42" i="1"/>
  <c r="J42" i="1"/>
  <c r="K42" i="1"/>
  <c r="H43" i="1"/>
  <c r="I43" i="1"/>
  <c r="J43" i="1"/>
  <c r="K43" i="1"/>
  <c r="H44" i="1"/>
  <c r="I44" i="1"/>
  <c r="J44" i="1"/>
  <c r="K44" i="1"/>
  <c r="H45" i="1"/>
  <c r="I45" i="1"/>
  <c r="J45" i="1"/>
  <c r="K45" i="1"/>
  <c r="H46" i="1"/>
  <c r="I46" i="1"/>
  <c r="J46" i="1"/>
  <c r="K46" i="1"/>
  <c r="H47" i="1"/>
  <c r="I47" i="1"/>
  <c r="J47" i="1"/>
  <c r="K47" i="1"/>
  <c r="H48" i="1"/>
  <c r="I48" i="1"/>
  <c r="J48" i="1"/>
  <c r="K48" i="1"/>
  <c r="H49" i="1"/>
  <c r="I49" i="1"/>
  <c r="J49" i="1"/>
  <c r="K49" i="1"/>
  <c r="H50" i="1"/>
  <c r="I50" i="1"/>
  <c r="J50" i="1"/>
  <c r="K50" i="1"/>
  <c r="H51" i="1"/>
  <c r="I51" i="1"/>
  <c r="J51" i="1"/>
  <c r="K51" i="1"/>
  <c r="H52" i="1"/>
  <c r="I52" i="1"/>
  <c r="J52" i="1"/>
  <c r="K52" i="1"/>
  <c r="H53" i="1"/>
  <c r="I53" i="1"/>
  <c r="J53" i="1"/>
  <c r="K53" i="1"/>
  <c r="H54" i="1"/>
  <c r="I54" i="1"/>
  <c r="J54" i="1"/>
  <c r="K54" i="1"/>
  <c r="H55" i="1"/>
  <c r="I55" i="1"/>
  <c r="J55" i="1"/>
  <c r="K55" i="1"/>
  <c r="H56" i="1"/>
  <c r="I56" i="1"/>
  <c r="J56" i="1"/>
  <c r="K56" i="1"/>
  <c r="H57" i="1"/>
  <c r="I57" i="1"/>
  <c r="J57" i="1"/>
  <c r="K57" i="1"/>
  <c r="H58" i="1"/>
  <c r="I58" i="1"/>
  <c r="J58" i="1"/>
  <c r="K58" i="1"/>
  <c r="H59" i="1"/>
  <c r="I59" i="1"/>
  <c r="J59" i="1"/>
  <c r="K59" i="1"/>
  <c r="H60" i="1"/>
  <c r="I60" i="1"/>
  <c r="J60" i="1"/>
  <c r="K60" i="1"/>
  <c r="H61" i="1"/>
  <c r="I61" i="1"/>
  <c r="J61" i="1"/>
  <c r="K61" i="1"/>
  <c r="H62" i="1"/>
  <c r="I62" i="1"/>
  <c r="J62" i="1"/>
  <c r="K62" i="1"/>
  <c r="H63" i="1"/>
  <c r="I63" i="1"/>
  <c r="J63" i="1"/>
  <c r="K63" i="1"/>
  <c r="K23" i="1"/>
  <c r="J23" i="1"/>
  <c r="I23" i="1"/>
  <c r="H23" i="1"/>
  <c r="F243" i="1"/>
  <c r="D243" i="1"/>
  <c r="G242" i="1"/>
  <c r="F242" i="1"/>
  <c r="E242" i="1"/>
  <c r="G241" i="1"/>
  <c r="F241" i="1"/>
  <c r="E241" i="1"/>
  <c r="D241" i="1"/>
  <c r="F240" i="1"/>
  <c r="D240" i="1"/>
  <c r="G239" i="1"/>
  <c r="F239" i="1"/>
  <c r="E239" i="1"/>
  <c r="D239" i="1"/>
  <c r="G238" i="1"/>
  <c r="F238" i="1"/>
  <c r="E238" i="1"/>
  <c r="D238" i="1"/>
  <c r="G237" i="1"/>
  <c r="F237" i="1"/>
  <c r="E237" i="1"/>
  <c r="D237" i="1"/>
  <c r="G236" i="1"/>
  <c r="F236" i="1"/>
  <c r="E236" i="1"/>
  <c r="D236" i="1"/>
  <c r="G235" i="1"/>
  <c r="F235" i="1"/>
  <c r="E235" i="1"/>
  <c r="D235" i="1"/>
  <c r="G234" i="1"/>
  <c r="F234" i="1"/>
  <c r="E234" i="1"/>
  <c r="D234" i="1"/>
  <c r="G233" i="1"/>
  <c r="F233" i="1"/>
  <c r="E233" i="1"/>
  <c r="D233" i="1"/>
  <c r="G232" i="1"/>
  <c r="F232" i="1"/>
  <c r="E232" i="1"/>
  <c r="D232" i="1"/>
  <c r="G231" i="1"/>
  <c r="F231" i="1"/>
  <c r="E231" i="1"/>
  <c r="D231" i="1"/>
  <c r="G230" i="1"/>
  <c r="F230" i="1"/>
  <c r="E230" i="1"/>
  <c r="D230" i="1"/>
  <c r="G229" i="1"/>
  <c r="F229" i="1"/>
  <c r="E229" i="1"/>
  <c r="D229" i="1"/>
  <c r="G228" i="1"/>
  <c r="F228" i="1"/>
  <c r="E228" i="1"/>
  <c r="D228" i="1"/>
  <c r="G227" i="1"/>
  <c r="F227" i="1"/>
  <c r="E227" i="1"/>
  <c r="D227" i="1"/>
  <c r="G226" i="1"/>
  <c r="F226" i="1"/>
  <c r="E226" i="1"/>
  <c r="D226" i="1"/>
  <c r="G225" i="1"/>
  <c r="F225" i="1"/>
  <c r="E225" i="1"/>
  <c r="D225" i="1"/>
  <c r="F224" i="1"/>
  <c r="D224" i="1"/>
  <c r="G223" i="1"/>
  <c r="F223" i="1"/>
  <c r="E223" i="1"/>
  <c r="D223" i="1"/>
  <c r="G222" i="1"/>
  <c r="F222" i="1"/>
  <c r="E222" i="1"/>
  <c r="D222" i="1"/>
  <c r="G221" i="1"/>
  <c r="F221" i="1"/>
  <c r="E221" i="1"/>
  <c r="D221" i="1"/>
  <c r="G220" i="1"/>
  <c r="F220" i="1"/>
  <c r="E220" i="1"/>
  <c r="D220" i="1"/>
  <c r="G219" i="1"/>
  <c r="F219" i="1"/>
  <c r="E219" i="1"/>
  <c r="D219" i="1"/>
  <c r="G218" i="1"/>
  <c r="F218" i="1"/>
  <c r="E218" i="1"/>
  <c r="D218" i="1"/>
  <c r="G217" i="1"/>
  <c r="F217" i="1"/>
  <c r="E217" i="1"/>
  <c r="D217" i="1"/>
  <c r="G216" i="1"/>
  <c r="F216" i="1"/>
  <c r="E216" i="1"/>
  <c r="D216" i="1"/>
  <c r="G215" i="1"/>
  <c r="F215" i="1"/>
  <c r="E215" i="1"/>
  <c r="D215" i="1"/>
  <c r="F214" i="1"/>
  <c r="D214" i="1"/>
  <c r="G213" i="1"/>
  <c r="F213" i="1"/>
  <c r="E213" i="1"/>
  <c r="D213" i="1"/>
  <c r="G212" i="1"/>
  <c r="F212" i="1"/>
  <c r="E212" i="1"/>
  <c r="D212" i="1"/>
  <c r="G211" i="1"/>
  <c r="F211" i="1"/>
  <c r="E211" i="1"/>
  <c r="D211" i="1"/>
  <c r="G210" i="1"/>
  <c r="F210" i="1"/>
  <c r="D210" i="1"/>
  <c r="G209" i="1"/>
  <c r="F209" i="1"/>
  <c r="E209" i="1"/>
  <c r="D209" i="1"/>
  <c r="F208" i="1"/>
  <c r="D208" i="1"/>
  <c r="G207" i="1"/>
  <c r="F207" i="1"/>
  <c r="E207" i="1"/>
  <c r="D207" i="1"/>
  <c r="G206" i="1"/>
  <c r="F206" i="1"/>
  <c r="E206" i="1"/>
  <c r="D206" i="1"/>
  <c r="G205" i="1"/>
  <c r="F205" i="1"/>
  <c r="E205" i="1"/>
  <c r="D205" i="1"/>
  <c r="G204" i="1"/>
  <c r="F204" i="1"/>
  <c r="E204" i="1"/>
  <c r="D204" i="1"/>
  <c r="G201" i="1"/>
  <c r="F201" i="1"/>
  <c r="E201" i="1"/>
  <c r="D201" i="1"/>
  <c r="G200" i="1"/>
  <c r="F200" i="1"/>
  <c r="E200" i="1"/>
  <c r="D200" i="1"/>
  <c r="G199" i="1"/>
  <c r="F199" i="1"/>
  <c r="E199" i="1"/>
  <c r="D199" i="1"/>
  <c r="G198" i="1"/>
  <c r="F198" i="1"/>
  <c r="E198" i="1"/>
  <c r="D198" i="1"/>
  <c r="G197" i="1"/>
  <c r="F197" i="1"/>
  <c r="E197" i="1"/>
  <c r="D197" i="1"/>
  <c r="G194" i="1"/>
  <c r="F194" i="1"/>
  <c r="E194" i="1"/>
  <c r="D194" i="1"/>
  <c r="G193" i="1"/>
  <c r="F193" i="1"/>
  <c r="E193" i="1"/>
  <c r="D193" i="1"/>
  <c r="G192" i="1"/>
  <c r="F192" i="1"/>
  <c r="E192" i="1"/>
  <c r="D192" i="1"/>
  <c r="G191" i="1"/>
  <c r="F191" i="1"/>
  <c r="E191" i="1"/>
  <c r="D191" i="1"/>
  <c r="G190" i="1"/>
  <c r="F190" i="1"/>
  <c r="E190" i="1"/>
  <c r="D190" i="1"/>
  <c r="G189" i="1"/>
  <c r="F189" i="1"/>
  <c r="E189" i="1"/>
  <c r="D189" i="1"/>
  <c r="G188" i="1"/>
  <c r="F188" i="1"/>
  <c r="E188" i="1"/>
  <c r="D188" i="1"/>
  <c r="G187" i="1"/>
  <c r="G195" i="1" s="1"/>
  <c r="F187" i="1"/>
  <c r="E187" i="1"/>
  <c r="D187" i="1"/>
  <c r="G184" i="1"/>
  <c r="F184" i="1"/>
  <c r="E184" i="1"/>
  <c r="D184" i="1"/>
  <c r="G183" i="1"/>
  <c r="F183" i="1"/>
  <c r="E183" i="1"/>
  <c r="D183" i="1"/>
  <c r="F182" i="1"/>
  <c r="D182" i="1"/>
  <c r="G181" i="1"/>
  <c r="F181" i="1"/>
  <c r="E181" i="1"/>
  <c r="D181" i="1"/>
  <c r="G180" i="1"/>
  <c r="F180" i="1"/>
  <c r="E180" i="1"/>
  <c r="D180" i="1"/>
  <c r="F179" i="1"/>
  <c r="D179" i="1"/>
  <c r="F178" i="1"/>
  <c r="D178" i="1"/>
  <c r="G177" i="1"/>
  <c r="F177" i="1"/>
  <c r="E177" i="1"/>
  <c r="D177" i="1"/>
  <c r="G176" i="1"/>
  <c r="F176" i="1"/>
  <c r="E176" i="1"/>
  <c r="D176" i="1"/>
  <c r="G175" i="1"/>
  <c r="F175" i="1"/>
  <c r="E175" i="1"/>
  <c r="D175" i="1"/>
  <c r="F174" i="1"/>
  <c r="D174" i="1"/>
  <c r="G173" i="1"/>
  <c r="F173" i="1"/>
  <c r="E173" i="1"/>
  <c r="D173" i="1"/>
  <c r="G172" i="1"/>
  <c r="F172" i="1"/>
  <c r="E172" i="1"/>
  <c r="D172" i="1"/>
  <c r="G171" i="1"/>
  <c r="F171" i="1"/>
  <c r="E171" i="1"/>
  <c r="D171" i="1"/>
  <c r="G170" i="1"/>
  <c r="F170" i="1"/>
  <c r="E170" i="1"/>
  <c r="D170" i="1"/>
  <c r="G169" i="1"/>
  <c r="F169" i="1"/>
  <c r="E169" i="1"/>
  <c r="D169" i="1"/>
  <c r="G168" i="1"/>
  <c r="F168" i="1"/>
  <c r="E168" i="1"/>
  <c r="D168" i="1"/>
  <c r="F167" i="1"/>
  <c r="D167" i="1"/>
  <c r="G166" i="1"/>
  <c r="F166" i="1"/>
  <c r="E166" i="1"/>
  <c r="D166" i="1"/>
  <c r="G165" i="1"/>
  <c r="F165" i="1"/>
  <c r="E165" i="1"/>
  <c r="D165" i="1"/>
  <c r="G164" i="1"/>
  <c r="F164" i="1"/>
  <c r="E164" i="1"/>
  <c r="D164" i="1"/>
  <c r="G163" i="1"/>
  <c r="F163" i="1"/>
  <c r="E163" i="1"/>
  <c r="D163" i="1"/>
  <c r="G162" i="1"/>
  <c r="F162" i="1"/>
  <c r="E162" i="1"/>
  <c r="D162" i="1"/>
  <c r="G161" i="1"/>
  <c r="F161" i="1"/>
  <c r="E161" i="1"/>
  <c r="D161" i="1"/>
  <c r="G160" i="1"/>
  <c r="F160" i="1"/>
  <c r="E160" i="1"/>
  <c r="D160" i="1"/>
  <c r="G159" i="1"/>
  <c r="F159" i="1"/>
  <c r="E159" i="1"/>
  <c r="D159" i="1"/>
  <c r="G158" i="1"/>
  <c r="F158" i="1"/>
  <c r="E158" i="1"/>
  <c r="D158" i="1"/>
  <c r="G157" i="1"/>
  <c r="F157" i="1"/>
  <c r="E157" i="1"/>
  <c r="D157" i="1"/>
  <c r="G156" i="1"/>
  <c r="F156" i="1"/>
  <c r="E156" i="1"/>
  <c r="D156" i="1"/>
  <c r="F155" i="1"/>
  <c r="D155" i="1"/>
  <c r="G152" i="1"/>
  <c r="F152" i="1"/>
  <c r="E152" i="1"/>
  <c r="D152" i="1"/>
  <c r="G151" i="1"/>
  <c r="F151" i="1"/>
  <c r="E151" i="1"/>
  <c r="D151" i="1"/>
  <c r="G150" i="1"/>
  <c r="F150" i="1"/>
  <c r="D150" i="1"/>
  <c r="G149" i="1"/>
  <c r="F149" i="1"/>
  <c r="E149" i="1"/>
  <c r="D149" i="1"/>
  <c r="G148" i="1"/>
  <c r="F148" i="1"/>
  <c r="D148" i="1"/>
  <c r="G147" i="1"/>
  <c r="F147" i="1"/>
  <c r="D147" i="1"/>
  <c r="G146" i="1"/>
  <c r="F146" i="1"/>
  <c r="E146" i="1"/>
  <c r="D146" i="1"/>
  <c r="G145" i="1"/>
  <c r="F145" i="1"/>
  <c r="D145" i="1"/>
  <c r="G144" i="1"/>
  <c r="F144" i="1"/>
  <c r="E144" i="1"/>
  <c r="D144" i="1"/>
  <c r="G143" i="1"/>
  <c r="F143" i="1"/>
  <c r="E143" i="1"/>
  <c r="D143" i="1"/>
  <c r="G142" i="1"/>
  <c r="F142" i="1"/>
  <c r="D142" i="1"/>
  <c r="G141" i="1"/>
  <c r="F141" i="1"/>
  <c r="E141" i="1"/>
  <c r="D141" i="1"/>
  <c r="G140" i="1"/>
  <c r="F140" i="1"/>
  <c r="E140" i="1"/>
  <c r="D140" i="1"/>
  <c r="G139" i="1"/>
  <c r="F139" i="1"/>
  <c r="E139" i="1"/>
  <c r="D139" i="1"/>
  <c r="G138" i="1"/>
  <c r="F138" i="1"/>
  <c r="E138" i="1"/>
  <c r="D138" i="1"/>
  <c r="G137" i="1"/>
  <c r="F137" i="1"/>
  <c r="E137" i="1"/>
  <c r="D137" i="1"/>
  <c r="G136" i="1"/>
  <c r="F136" i="1"/>
  <c r="E136" i="1"/>
  <c r="D136" i="1"/>
  <c r="G135" i="1"/>
  <c r="F135" i="1"/>
  <c r="E135" i="1"/>
  <c r="D135" i="1"/>
  <c r="G134" i="1"/>
  <c r="F134" i="1"/>
  <c r="E134" i="1"/>
  <c r="D134" i="1"/>
  <c r="G133" i="1"/>
  <c r="F133" i="1"/>
  <c r="E133" i="1"/>
  <c r="D133" i="1"/>
  <c r="G132" i="1"/>
  <c r="F132" i="1"/>
  <c r="E132" i="1"/>
  <c r="D132" i="1"/>
  <c r="F131" i="1"/>
  <c r="D131" i="1"/>
  <c r="G130" i="1"/>
  <c r="F130" i="1"/>
  <c r="E130" i="1"/>
  <c r="D130" i="1"/>
  <c r="G129" i="1"/>
  <c r="F129" i="1"/>
  <c r="E129" i="1"/>
  <c r="D129" i="1"/>
  <c r="G128" i="1"/>
  <c r="F128" i="1"/>
  <c r="E128" i="1"/>
  <c r="D128" i="1"/>
  <c r="G127" i="1"/>
  <c r="F127" i="1"/>
  <c r="E127" i="1"/>
  <c r="D127" i="1"/>
  <c r="G126" i="1"/>
  <c r="F126" i="1"/>
  <c r="D126" i="1"/>
  <c r="F125" i="1"/>
  <c r="D125" i="1"/>
  <c r="G124" i="1"/>
  <c r="F124" i="1"/>
  <c r="D124" i="1"/>
  <c r="G123" i="1"/>
  <c r="F123" i="1"/>
  <c r="E123" i="1"/>
  <c r="D123" i="1"/>
  <c r="G122" i="1"/>
  <c r="F122" i="1"/>
  <c r="E122" i="1"/>
  <c r="D122" i="1"/>
  <c r="G121" i="1"/>
  <c r="F121" i="1"/>
  <c r="E121" i="1"/>
  <c r="D121" i="1"/>
  <c r="G120" i="1"/>
  <c r="F120" i="1"/>
  <c r="E120" i="1"/>
  <c r="D120" i="1"/>
  <c r="G119" i="1"/>
  <c r="F119" i="1"/>
  <c r="E119" i="1"/>
  <c r="D119" i="1"/>
  <c r="G118" i="1"/>
  <c r="F118" i="1"/>
  <c r="E118" i="1"/>
  <c r="D118" i="1"/>
  <c r="G117" i="1"/>
  <c r="F117" i="1"/>
  <c r="E117" i="1"/>
  <c r="D117" i="1"/>
  <c r="G116" i="1"/>
  <c r="F116" i="1"/>
  <c r="E116" i="1"/>
  <c r="D116" i="1"/>
  <c r="G115" i="1"/>
  <c r="F115" i="1"/>
  <c r="E115" i="1"/>
  <c r="D115" i="1"/>
  <c r="G114" i="1"/>
  <c r="F114" i="1"/>
  <c r="E114" i="1"/>
  <c r="D114" i="1"/>
  <c r="G113" i="1"/>
  <c r="F113" i="1"/>
  <c r="E113" i="1"/>
  <c r="D113" i="1"/>
  <c r="F112" i="1"/>
  <c r="D112" i="1"/>
  <c r="F111" i="1"/>
  <c r="D111" i="1"/>
  <c r="G110" i="1"/>
  <c r="F110" i="1"/>
  <c r="E110" i="1"/>
  <c r="D110" i="1"/>
  <c r="F109" i="1"/>
  <c r="D109" i="1"/>
  <c r="F108" i="1"/>
  <c r="D108" i="1"/>
  <c r="F107" i="1"/>
  <c r="D107" i="1"/>
  <c r="G106" i="1"/>
  <c r="F106" i="1"/>
  <c r="E106" i="1"/>
  <c r="D106" i="1"/>
  <c r="F105" i="1"/>
  <c r="D105" i="1"/>
  <c r="F104" i="1"/>
  <c r="D104" i="1"/>
  <c r="D67" i="1"/>
  <c r="F67" i="1"/>
  <c r="D68" i="1"/>
  <c r="F68" i="1"/>
  <c r="D69" i="1"/>
  <c r="E69" i="1"/>
  <c r="F69" i="1"/>
  <c r="G69" i="1"/>
  <c r="D70" i="1"/>
  <c r="E70" i="1"/>
  <c r="F70" i="1"/>
  <c r="G70" i="1"/>
  <c r="D71" i="1"/>
  <c r="E71" i="1"/>
  <c r="F71" i="1"/>
  <c r="G71" i="1"/>
  <c r="D72" i="1"/>
  <c r="E72" i="1"/>
  <c r="F72" i="1"/>
  <c r="G72" i="1"/>
  <c r="D73" i="1"/>
  <c r="E73" i="1"/>
  <c r="F73" i="1"/>
  <c r="G73" i="1"/>
  <c r="D75" i="1"/>
  <c r="F75" i="1"/>
  <c r="D76" i="1"/>
  <c r="E76" i="1"/>
  <c r="F76" i="1"/>
  <c r="G76" i="1"/>
  <c r="D77" i="1"/>
  <c r="E77" i="1"/>
  <c r="F77" i="1"/>
  <c r="G77" i="1"/>
  <c r="D78" i="1"/>
  <c r="E78" i="1"/>
  <c r="F78" i="1"/>
  <c r="G78" i="1"/>
  <c r="D79" i="1"/>
  <c r="E79" i="1"/>
  <c r="F79" i="1"/>
  <c r="G79" i="1"/>
  <c r="D80" i="1"/>
  <c r="E80" i="1"/>
  <c r="F80" i="1"/>
  <c r="G80" i="1"/>
  <c r="D81" i="1"/>
  <c r="E81" i="1"/>
  <c r="F81" i="1"/>
  <c r="G81" i="1"/>
  <c r="D82" i="1"/>
  <c r="E82" i="1"/>
  <c r="F82" i="1"/>
  <c r="G82" i="1"/>
  <c r="D83" i="1"/>
  <c r="F83" i="1"/>
  <c r="D84" i="1"/>
  <c r="E84" i="1"/>
  <c r="F84" i="1"/>
  <c r="G84" i="1"/>
  <c r="D85" i="1"/>
  <c r="F85" i="1"/>
  <c r="D86" i="1"/>
  <c r="E86" i="1"/>
  <c r="F86" i="1"/>
  <c r="G86" i="1"/>
  <c r="D87" i="1"/>
  <c r="E87" i="1"/>
  <c r="F87" i="1"/>
  <c r="G87" i="1"/>
  <c r="D88" i="1"/>
  <c r="E88" i="1"/>
  <c r="F88" i="1"/>
  <c r="G88" i="1"/>
  <c r="D89" i="1"/>
  <c r="E89" i="1"/>
  <c r="F89" i="1"/>
  <c r="G89" i="1"/>
  <c r="D90" i="1"/>
  <c r="E90" i="1"/>
  <c r="F90" i="1"/>
  <c r="G90" i="1"/>
  <c r="D91" i="1"/>
  <c r="E91" i="1"/>
  <c r="F91" i="1"/>
  <c r="G91" i="1"/>
  <c r="D92" i="1"/>
  <c r="E92" i="1"/>
  <c r="F92" i="1"/>
  <c r="G92" i="1"/>
  <c r="D93" i="1"/>
  <c r="E93" i="1"/>
  <c r="F93" i="1"/>
  <c r="G93" i="1"/>
  <c r="D94" i="1"/>
  <c r="E94" i="1"/>
  <c r="F94" i="1"/>
  <c r="G94" i="1"/>
  <c r="D95" i="1"/>
  <c r="E95" i="1"/>
  <c r="F95" i="1"/>
  <c r="G95" i="1"/>
  <c r="D96" i="1"/>
  <c r="E96" i="1"/>
  <c r="F96" i="1"/>
  <c r="G96" i="1"/>
  <c r="D97" i="1"/>
  <c r="E97" i="1"/>
  <c r="F97" i="1"/>
  <c r="G97" i="1"/>
  <c r="D98" i="1"/>
  <c r="E98" i="1"/>
  <c r="F98" i="1"/>
  <c r="G98" i="1"/>
  <c r="D99" i="1"/>
  <c r="F99" i="1"/>
  <c r="D100" i="1"/>
  <c r="E100" i="1"/>
  <c r="F100" i="1"/>
  <c r="G100" i="1"/>
  <c r="D101" i="1"/>
  <c r="E101" i="1"/>
  <c r="F101" i="1"/>
  <c r="G101" i="1"/>
  <c r="F66" i="1"/>
  <c r="D66" i="1"/>
  <c r="D31" i="1"/>
  <c r="E31" i="1"/>
  <c r="F31" i="1"/>
  <c r="G31" i="1"/>
  <c r="D32" i="1"/>
  <c r="F32" i="1"/>
  <c r="D33" i="1"/>
  <c r="E33" i="1"/>
  <c r="F33" i="1"/>
  <c r="G33" i="1"/>
  <c r="D34" i="1"/>
  <c r="F34" i="1"/>
  <c r="D35" i="1"/>
  <c r="E35" i="1"/>
  <c r="F35" i="1"/>
  <c r="G35" i="1"/>
  <c r="D36" i="1"/>
  <c r="F36" i="1"/>
  <c r="D37" i="1"/>
  <c r="E37" i="1"/>
  <c r="F37" i="1"/>
  <c r="G37" i="1"/>
  <c r="D38" i="1"/>
  <c r="E38" i="1"/>
  <c r="F38" i="1"/>
  <c r="G38" i="1"/>
  <c r="D39" i="1"/>
  <c r="E39" i="1"/>
  <c r="F39" i="1"/>
  <c r="G39" i="1"/>
  <c r="D40" i="1"/>
  <c r="F40" i="1"/>
  <c r="D41" i="1"/>
  <c r="F41" i="1"/>
  <c r="D42" i="1"/>
  <c r="E42" i="1"/>
  <c r="F42" i="1"/>
  <c r="G42" i="1"/>
  <c r="D43" i="1"/>
  <c r="F43" i="1"/>
  <c r="G43" i="1"/>
  <c r="D44" i="1"/>
  <c r="E44" i="1"/>
  <c r="F44" i="1"/>
  <c r="G44" i="1"/>
  <c r="D45" i="1"/>
  <c r="F45" i="1"/>
  <c r="D46" i="1"/>
  <c r="E46" i="1"/>
  <c r="F46" i="1"/>
  <c r="G46" i="1"/>
  <c r="D47" i="1"/>
  <c r="E47" i="1"/>
  <c r="F47" i="1"/>
  <c r="G47" i="1"/>
  <c r="D48" i="1"/>
  <c r="E48" i="1"/>
  <c r="F48" i="1"/>
  <c r="G48" i="1"/>
  <c r="D49" i="1"/>
  <c r="E49" i="1"/>
  <c r="F49" i="1"/>
  <c r="G49" i="1"/>
  <c r="D50" i="1"/>
  <c r="E50" i="1"/>
  <c r="F50" i="1"/>
  <c r="G50" i="1"/>
  <c r="D51" i="1"/>
  <c r="E51" i="1"/>
  <c r="F51" i="1"/>
  <c r="G51" i="1"/>
  <c r="D52" i="1"/>
  <c r="E52" i="1"/>
  <c r="F52" i="1"/>
  <c r="G52" i="1"/>
  <c r="D53" i="1"/>
  <c r="E53" i="1"/>
  <c r="F53" i="1"/>
  <c r="G53" i="1"/>
  <c r="D54" i="1"/>
  <c r="E54" i="1"/>
  <c r="F54" i="1"/>
  <c r="G54" i="1"/>
  <c r="D55" i="1"/>
  <c r="E55" i="1"/>
  <c r="F55" i="1"/>
  <c r="G55" i="1"/>
  <c r="D56" i="1"/>
  <c r="F56" i="1"/>
  <c r="D57" i="1"/>
  <c r="E57" i="1"/>
  <c r="F57" i="1"/>
  <c r="G57" i="1"/>
  <c r="D58" i="1"/>
  <c r="F58" i="1"/>
  <c r="D59" i="1"/>
  <c r="F59" i="1"/>
  <c r="D60" i="1"/>
  <c r="E60" i="1"/>
  <c r="F60" i="1"/>
  <c r="G60" i="1"/>
  <c r="D61" i="1"/>
  <c r="E61" i="1"/>
  <c r="F61" i="1"/>
  <c r="G61" i="1"/>
  <c r="D62" i="1"/>
  <c r="E62" i="1"/>
  <c r="F62" i="1"/>
  <c r="G62" i="1"/>
  <c r="D63" i="1"/>
  <c r="E63" i="1"/>
  <c r="F63" i="1"/>
  <c r="G63" i="1"/>
  <c r="D27" i="1"/>
  <c r="E27" i="1"/>
  <c r="F27" i="1"/>
  <c r="G27" i="1"/>
  <c r="D28" i="1"/>
  <c r="E28" i="1"/>
  <c r="F28" i="1"/>
  <c r="G28" i="1"/>
  <c r="D29" i="1"/>
  <c r="E29" i="1"/>
  <c r="F29" i="1"/>
  <c r="G29" i="1"/>
  <c r="D30" i="1"/>
  <c r="F30" i="1"/>
  <c r="G24" i="1"/>
  <c r="G25" i="1"/>
  <c r="G26" i="1"/>
  <c r="G23" i="1"/>
  <c r="F24" i="1"/>
  <c r="F25" i="1"/>
  <c r="F26" i="1"/>
  <c r="F23" i="1"/>
  <c r="E24" i="1"/>
  <c r="E25" i="1"/>
  <c r="E26" i="1"/>
  <c r="D24" i="1"/>
  <c r="D25" i="1"/>
  <c r="D26" i="1"/>
  <c r="E23" i="1"/>
  <c r="D23" i="1"/>
  <c r="E145" i="1"/>
  <c r="G32" i="1"/>
  <c r="E32" i="1"/>
  <c r="G34" i="1"/>
  <c r="E34" i="1"/>
  <c r="G178" i="1"/>
  <c r="E178" i="1"/>
  <c r="G104" i="1"/>
  <c r="E104" i="1"/>
  <c r="G167" i="1"/>
  <c r="E167" i="1"/>
  <c r="G243" i="1"/>
  <c r="E243" i="1"/>
  <c r="G240" i="1"/>
  <c r="E240" i="1"/>
  <c r="G224" i="1"/>
  <c r="E224" i="1"/>
  <c r="G214" i="1"/>
  <c r="E214" i="1"/>
  <c r="E210" i="1"/>
  <c r="G182" i="1"/>
  <c r="E182" i="1"/>
  <c r="G179" i="1"/>
  <c r="E179" i="1"/>
  <c r="G174" i="1"/>
  <c r="E174" i="1"/>
  <c r="E150" i="1"/>
  <c r="E148" i="1"/>
  <c r="E147" i="1"/>
  <c r="E142" i="1"/>
  <c r="G131" i="1"/>
  <c r="E131" i="1"/>
  <c r="E126" i="1"/>
  <c r="G125" i="1"/>
  <c r="E125" i="1"/>
  <c r="E124" i="1"/>
  <c r="G112" i="1"/>
  <c r="E112" i="1"/>
  <c r="G111" i="1"/>
  <c r="E111" i="1"/>
  <c r="G109" i="1"/>
  <c r="E109" i="1"/>
  <c r="G108" i="1"/>
  <c r="E108" i="1"/>
  <c r="G107" i="1"/>
  <c r="E107" i="1"/>
  <c r="G105" i="1"/>
  <c r="E105" i="1"/>
  <c r="G99" i="1"/>
  <c r="E99" i="1"/>
  <c r="G85" i="1"/>
  <c r="E85" i="1"/>
  <c r="G83" i="1"/>
  <c r="E83" i="1"/>
  <c r="G75" i="1"/>
  <c r="E75" i="1"/>
  <c r="G68" i="1"/>
  <c r="E68" i="1"/>
  <c r="G67" i="1"/>
  <c r="E67" i="1"/>
  <c r="G59" i="1"/>
  <c r="E59" i="1"/>
  <c r="G58" i="1"/>
  <c r="E58" i="1"/>
  <c r="G56" i="1"/>
  <c r="E56" i="1"/>
  <c r="G45" i="1"/>
  <c r="E45" i="1"/>
  <c r="E43" i="1"/>
  <c r="G41" i="1"/>
  <c r="E41" i="1"/>
  <c r="G40" i="1"/>
  <c r="E40" i="1"/>
  <c r="G36" i="1"/>
  <c r="E36" i="1"/>
  <c r="G30" i="1"/>
  <c r="E30" i="1"/>
  <c r="D89" i="2"/>
  <c r="E89" i="2"/>
  <c r="F89" i="2"/>
  <c r="D90" i="2"/>
  <c r="E90" i="2"/>
  <c r="F90" i="2"/>
  <c r="D93" i="2"/>
  <c r="E93" i="2"/>
  <c r="F93" i="2"/>
  <c r="D94" i="2"/>
  <c r="E94" i="2"/>
  <c r="F94" i="2"/>
  <c r="D95" i="2"/>
  <c r="E95" i="2"/>
  <c r="F95" i="2"/>
  <c r="D96" i="2"/>
  <c r="E96" i="2"/>
  <c r="F96" i="2"/>
  <c r="D97" i="2"/>
  <c r="E97" i="2"/>
  <c r="F97" i="2"/>
  <c r="D98" i="2"/>
  <c r="E98" i="2"/>
  <c r="F98" i="2"/>
  <c r="D99" i="2"/>
  <c r="E99" i="2"/>
  <c r="F99" i="2"/>
  <c r="D100" i="2"/>
  <c r="E100" i="2"/>
  <c r="F100" i="2"/>
  <c r="K64" i="1" l="1"/>
  <c r="O64" i="1"/>
  <c r="M102" i="1"/>
  <c r="Q102" i="1"/>
  <c r="O153" i="1"/>
  <c r="J195" i="1"/>
  <c r="N195" i="1"/>
  <c r="J202" i="1"/>
  <c r="N202" i="1"/>
  <c r="H244" i="1"/>
  <c r="L244" i="1"/>
  <c r="P244" i="1"/>
  <c r="H153" i="1"/>
  <c r="K102" i="1"/>
  <c r="K153" i="1"/>
  <c r="I185" i="1"/>
  <c r="M185" i="1"/>
  <c r="Q185" i="1"/>
  <c r="L64" i="1"/>
  <c r="P64" i="1"/>
  <c r="N102" i="1"/>
  <c r="L153" i="1"/>
  <c r="P153" i="1"/>
  <c r="K195" i="1"/>
  <c r="O195" i="1"/>
  <c r="K202" i="1"/>
  <c r="O202" i="1"/>
  <c r="I244" i="1"/>
  <c r="M244" i="1"/>
  <c r="Q244" i="1"/>
  <c r="N185" i="1"/>
  <c r="I64" i="1"/>
  <c r="M64" i="1"/>
  <c r="Q64" i="1"/>
  <c r="O102" i="1"/>
  <c r="M153" i="1"/>
  <c r="Q153" i="1"/>
  <c r="K185" i="1"/>
  <c r="O185" i="1"/>
  <c r="H195" i="1"/>
  <c r="L195" i="1"/>
  <c r="P195" i="1"/>
  <c r="H202" i="1"/>
  <c r="L202" i="1"/>
  <c r="P202" i="1"/>
  <c r="J244" i="1"/>
  <c r="N244" i="1"/>
  <c r="H64" i="1"/>
  <c r="J185" i="1"/>
  <c r="N64" i="1"/>
  <c r="L102" i="1"/>
  <c r="P102" i="1"/>
  <c r="N153" i="1"/>
  <c r="H185" i="1"/>
  <c r="L185" i="1"/>
  <c r="P185" i="1"/>
  <c r="I195" i="1"/>
  <c r="M195" i="1"/>
  <c r="Q195" i="1"/>
  <c r="I202" i="1"/>
  <c r="M202" i="1"/>
  <c r="Q202" i="1"/>
  <c r="K244" i="1"/>
  <c r="O244" i="1"/>
  <c r="G66" i="1"/>
  <c r="G102" i="1" s="1"/>
  <c r="E66" i="1"/>
  <c r="E102" i="1" s="1"/>
  <c r="E155" i="1"/>
  <c r="E185" i="1" s="1"/>
  <c r="G155" i="1"/>
  <c r="G185" i="1" s="1"/>
  <c r="E208" i="1"/>
  <c r="E244" i="1" s="1"/>
  <c r="G208" i="1"/>
  <c r="G244" i="1" s="1"/>
  <c r="J64" i="1"/>
  <c r="E64" i="1"/>
  <c r="F64" i="1"/>
  <c r="G64" i="1"/>
  <c r="D64" i="1"/>
  <c r="F102" i="1"/>
  <c r="D102" i="1"/>
  <c r="E153" i="1"/>
  <c r="F153" i="1"/>
  <c r="G153" i="1"/>
  <c r="D153" i="1"/>
  <c r="F185" i="1"/>
  <c r="D185" i="1"/>
  <c r="E195" i="1"/>
  <c r="F195" i="1"/>
  <c r="D195" i="1"/>
  <c r="E202" i="1"/>
  <c r="F202" i="1"/>
  <c r="G202" i="1"/>
  <c r="D202" i="1"/>
  <c r="F244" i="1"/>
  <c r="D244" i="1"/>
  <c r="O245" i="1" l="1"/>
  <c r="O246" i="1" s="1"/>
  <c r="I245" i="1"/>
  <c r="I246" i="1" s="1"/>
  <c r="Q245" i="1"/>
  <c r="Q246" i="1" s="1"/>
  <c r="H245" i="1"/>
  <c r="H246" i="1" s="1"/>
  <c r="N245" i="1"/>
  <c r="N246" i="1" s="1"/>
  <c r="K245" i="1"/>
  <c r="K246" i="1" s="1"/>
  <c r="L245" i="1"/>
  <c r="L246" i="1" s="1"/>
  <c r="M245" i="1"/>
  <c r="M246" i="1" s="1"/>
  <c r="P245" i="1"/>
  <c r="P246" i="1" s="1"/>
  <c r="J245" i="1"/>
  <c r="J246" i="1" s="1"/>
  <c r="G245" i="1"/>
  <c r="G246" i="1" s="1"/>
  <c r="F245" i="1"/>
  <c r="F246" i="1" s="1"/>
  <c r="E245" i="1"/>
  <c r="E246" i="1" s="1"/>
  <c r="D245" i="1"/>
  <c r="D246" i="1" s="1"/>
  <c r="K32" i="2"/>
  <c r="K33" i="2"/>
  <c r="K34" i="2"/>
  <c r="K35" i="2"/>
  <c r="K36" i="2"/>
  <c r="K37" i="2"/>
  <c r="J33" i="2"/>
  <c r="J34" i="2"/>
  <c r="J35" i="2"/>
  <c r="J36" i="2"/>
  <c r="J37" i="2"/>
  <c r="J32" i="2"/>
  <c r="E32" i="2"/>
  <c r="F32" i="2"/>
  <c r="G32" i="2"/>
  <c r="E33" i="2"/>
  <c r="F33" i="2"/>
  <c r="G33" i="2"/>
  <c r="E34" i="2"/>
  <c r="F34" i="2"/>
  <c r="G34" i="2"/>
  <c r="E35" i="2"/>
  <c r="F35" i="2"/>
  <c r="G35" i="2"/>
  <c r="E36" i="2"/>
  <c r="F36" i="2"/>
  <c r="G36" i="2"/>
  <c r="E37" i="2"/>
  <c r="F37" i="2"/>
  <c r="G37" i="2"/>
  <c r="D33" i="2"/>
  <c r="D34" i="2"/>
  <c r="D35" i="2"/>
  <c r="D36" i="2"/>
  <c r="D37" i="2"/>
  <c r="D32" i="2"/>
  <c r="K23" i="2"/>
  <c r="K24" i="2"/>
  <c r="K25" i="2"/>
  <c r="K26" i="2"/>
  <c r="K27" i="2"/>
  <c r="K28" i="2"/>
  <c r="K29" i="2"/>
  <c r="J24" i="2"/>
  <c r="J25" i="2"/>
  <c r="J26" i="2"/>
  <c r="J27" i="2"/>
  <c r="J28" i="2"/>
  <c r="J29" i="2"/>
  <c r="J23" i="2"/>
  <c r="D24" i="2"/>
  <c r="E24" i="2"/>
  <c r="F24" i="2"/>
  <c r="G24" i="2"/>
  <c r="D25" i="2"/>
  <c r="E25" i="2"/>
  <c r="F25" i="2"/>
  <c r="G25" i="2"/>
  <c r="D26" i="2"/>
  <c r="E26" i="2"/>
  <c r="F26" i="2"/>
  <c r="G26" i="2"/>
  <c r="D27" i="2"/>
  <c r="E27" i="2"/>
  <c r="F27" i="2"/>
  <c r="G27" i="2"/>
  <c r="D28" i="2"/>
  <c r="E28" i="2"/>
  <c r="F28" i="2"/>
  <c r="G28" i="2"/>
  <c r="D29" i="2"/>
  <c r="E29" i="2"/>
  <c r="F29" i="2"/>
  <c r="G29" i="2"/>
  <c r="E23" i="2"/>
  <c r="F23" i="2"/>
  <c r="G23" i="2"/>
  <c r="D23" i="2"/>
  <c r="F30" i="2" l="1"/>
  <c r="E30" i="2"/>
  <c r="D30" i="2"/>
  <c r="G30" i="2"/>
  <c r="F73" i="2"/>
  <c r="G73" i="2"/>
  <c r="D73" i="2"/>
  <c r="E73" i="2"/>
  <c r="K117" i="2" l="1"/>
  <c r="K118" i="2"/>
  <c r="K119" i="2"/>
  <c r="K120" i="2"/>
  <c r="K121" i="2"/>
  <c r="K122" i="2"/>
  <c r="K123" i="2"/>
  <c r="K124" i="2"/>
  <c r="K125" i="2"/>
  <c r="K126" i="2"/>
  <c r="K127" i="2"/>
  <c r="K128" i="2"/>
  <c r="J118" i="2"/>
  <c r="J119" i="2"/>
  <c r="J120" i="2"/>
  <c r="J121" i="2"/>
  <c r="J122" i="2"/>
  <c r="J123" i="2"/>
  <c r="J124" i="2"/>
  <c r="J125" i="2"/>
  <c r="J126" i="2"/>
  <c r="J127" i="2"/>
  <c r="J128" i="2"/>
  <c r="J117" i="2"/>
  <c r="E117" i="2"/>
  <c r="F117" i="2"/>
  <c r="G117" i="2"/>
  <c r="E118" i="2"/>
  <c r="F118" i="2"/>
  <c r="G118" i="2"/>
  <c r="E119" i="2"/>
  <c r="F119" i="2"/>
  <c r="G119" i="2"/>
  <c r="E120" i="2"/>
  <c r="F120" i="2"/>
  <c r="G120" i="2"/>
  <c r="E121" i="2"/>
  <c r="F121" i="2"/>
  <c r="G121" i="2"/>
  <c r="E122" i="2"/>
  <c r="F122" i="2"/>
  <c r="G122" i="2"/>
  <c r="E123" i="2"/>
  <c r="F123" i="2"/>
  <c r="G123" i="2"/>
  <c r="E124" i="2"/>
  <c r="F124" i="2"/>
  <c r="G124" i="2"/>
  <c r="E125" i="2"/>
  <c r="F125" i="2"/>
  <c r="G125" i="2"/>
  <c r="E126" i="2"/>
  <c r="F126" i="2"/>
  <c r="G126" i="2"/>
  <c r="E127" i="2"/>
  <c r="F127" i="2"/>
  <c r="G127" i="2"/>
  <c r="E128" i="2"/>
  <c r="F128" i="2"/>
  <c r="G128" i="2"/>
  <c r="D118" i="2"/>
  <c r="D119" i="2"/>
  <c r="D120" i="2"/>
  <c r="D121" i="2"/>
  <c r="D122" i="2"/>
  <c r="D123" i="2"/>
  <c r="D124" i="2"/>
  <c r="D125" i="2"/>
  <c r="D126" i="2"/>
  <c r="D127" i="2"/>
  <c r="D128" i="2"/>
  <c r="D117" i="2"/>
  <c r="K104" i="2"/>
  <c r="K105" i="2"/>
  <c r="K106" i="2"/>
  <c r="K107" i="2"/>
  <c r="K108" i="2"/>
  <c r="K109" i="2"/>
  <c r="K110" i="2"/>
  <c r="K111" i="2"/>
  <c r="K112" i="2"/>
  <c r="K113" i="2"/>
  <c r="K114" i="2"/>
  <c r="J105" i="2"/>
  <c r="J106" i="2"/>
  <c r="J107" i="2"/>
  <c r="J108" i="2"/>
  <c r="J109" i="2"/>
  <c r="J110" i="2"/>
  <c r="J111" i="2"/>
  <c r="J112" i="2"/>
  <c r="J113" i="2"/>
  <c r="J114" i="2"/>
  <c r="J104" i="2"/>
  <c r="E104" i="2"/>
  <c r="F104" i="2"/>
  <c r="G104" i="2"/>
  <c r="E105" i="2"/>
  <c r="F105" i="2"/>
  <c r="G105" i="2"/>
  <c r="E106" i="2"/>
  <c r="F106" i="2"/>
  <c r="G106" i="2"/>
  <c r="E107" i="2"/>
  <c r="F107" i="2"/>
  <c r="G107" i="2"/>
  <c r="E108" i="2"/>
  <c r="F108" i="2"/>
  <c r="G108" i="2"/>
  <c r="E109" i="2"/>
  <c r="F109" i="2"/>
  <c r="G109" i="2"/>
  <c r="E110" i="2"/>
  <c r="F110" i="2"/>
  <c r="G110" i="2"/>
  <c r="E111" i="2"/>
  <c r="F111" i="2"/>
  <c r="G111" i="2"/>
  <c r="E112" i="2"/>
  <c r="F112" i="2"/>
  <c r="G112" i="2"/>
  <c r="E113" i="2"/>
  <c r="F113" i="2"/>
  <c r="G113" i="2"/>
  <c r="E114" i="2"/>
  <c r="F114" i="2"/>
  <c r="G114" i="2"/>
  <c r="D105" i="2"/>
  <c r="D106" i="2"/>
  <c r="D107" i="2"/>
  <c r="D108" i="2"/>
  <c r="D109" i="2"/>
  <c r="D110" i="2"/>
  <c r="D111" i="2"/>
  <c r="D112" i="2"/>
  <c r="D113" i="2"/>
  <c r="D114" i="2"/>
  <c r="D104" i="2"/>
  <c r="K93" i="2"/>
  <c r="K94" i="2"/>
  <c r="K95" i="2"/>
  <c r="K96" i="2"/>
  <c r="K97" i="2"/>
  <c r="K98" i="2"/>
  <c r="K99" i="2"/>
  <c r="K100" i="2"/>
  <c r="K101" i="2"/>
  <c r="J94" i="2"/>
  <c r="J95" i="2"/>
  <c r="J96" i="2"/>
  <c r="J97" i="2"/>
  <c r="J98" i="2"/>
  <c r="J99" i="2"/>
  <c r="J100" i="2"/>
  <c r="J101" i="2"/>
  <c r="J93" i="2"/>
  <c r="G93" i="2"/>
  <c r="G94" i="2"/>
  <c r="G95" i="2"/>
  <c r="G96" i="2"/>
  <c r="G97" i="2"/>
  <c r="G98" i="2"/>
  <c r="G99" i="2"/>
  <c r="G100" i="2"/>
  <c r="E101" i="2"/>
  <c r="F101" i="2"/>
  <c r="G101" i="2"/>
  <c r="D101" i="2"/>
  <c r="D102" i="2" s="1"/>
  <c r="K80" i="2"/>
  <c r="K81" i="2"/>
  <c r="K82" i="2"/>
  <c r="K83" i="2"/>
  <c r="K84" i="2"/>
  <c r="K85" i="2"/>
  <c r="K86" i="2"/>
  <c r="K87" i="2"/>
  <c r="K88" i="2"/>
  <c r="K89" i="2"/>
  <c r="K90" i="2"/>
  <c r="J81" i="2"/>
  <c r="J82" i="2"/>
  <c r="J83" i="2"/>
  <c r="J84" i="2"/>
  <c r="J85" i="2"/>
  <c r="J86" i="2"/>
  <c r="J87" i="2"/>
  <c r="J88" i="2"/>
  <c r="J89" i="2"/>
  <c r="J90" i="2"/>
  <c r="J80" i="2"/>
  <c r="E80" i="2"/>
  <c r="F80" i="2"/>
  <c r="G80" i="2"/>
  <c r="E81" i="2"/>
  <c r="F81" i="2"/>
  <c r="G81" i="2"/>
  <c r="E82" i="2"/>
  <c r="F82" i="2"/>
  <c r="G82" i="2"/>
  <c r="E83" i="2"/>
  <c r="F83" i="2"/>
  <c r="G83" i="2"/>
  <c r="E84" i="2"/>
  <c r="F84" i="2"/>
  <c r="G84" i="2"/>
  <c r="E85" i="2"/>
  <c r="F85" i="2"/>
  <c r="G85" i="2"/>
  <c r="E86" i="2"/>
  <c r="F86" i="2"/>
  <c r="G86" i="2"/>
  <c r="E87" i="2"/>
  <c r="F87" i="2"/>
  <c r="G87" i="2"/>
  <c r="E88" i="2"/>
  <c r="F88" i="2"/>
  <c r="G88" i="2"/>
  <c r="G89" i="2"/>
  <c r="G90" i="2"/>
  <c r="D81" i="2"/>
  <c r="D82" i="2"/>
  <c r="D83" i="2"/>
  <c r="D84" i="2"/>
  <c r="D85" i="2"/>
  <c r="D86" i="2"/>
  <c r="D87" i="2"/>
  <c r="D88" i="2"/>
  <c r="D80" i="2"/>
  <c r="K72" i="2"/>
  <c r="K73" i="2"/>
  <c r="K74" i="2"/>
  <c r="K75" i="2"/>
  <c r="K76" i="2"/>
  <c r="K77" i="2"/>
  <c r="J73" i="2"/>
  <c r="J74" i="2"/>
  <c r="J75" i="2"/>
  <c r="J76" i="2"/>
  <c r="J77" i="2"/>
  <c r="J72" i="2"/>
  <c r="E72" i="2"/>
  <c r="F72" i="2"/>
  <c r="G72" i="2"/>
  <c r="E74" i="2"/>
  <c r="F74" i="2"/>
  <c r="G74" i="2"/>
  <c r="E75" i="2"/>
  <c r="F75" i="2"/>
  <c r="G75" i="2"/>
  <c r="E76" i="2"/>
  <c r="F76" i="2"/>
  <c r="G76" i="2"/>
  <c r="E77" i="2"/>
  <c r="F77" i="2"/>
  <c r="G77" i="2"/>
  <c r="D74" i="2"/>
  <c r="D75" i="2"/>
  <c r="D76" i="2"/>
  <c r="D77" i="2"/>
  <c r="D72" i="2"/>
  <c r="K65" i="2"/>
  <c r="K66" i="2"/>
  <c r="K67" i="2"/>
  <c r="K68" i="2"/>
  <c r="K69" i="2"/>
  <c r="J66" i="2"/>
  <c r="J67" i="2"/>
  <c r="J68" i="2"/>
  <c r="J69" i="2"/>
  <c r="J65" i="2"/>
  <c r="E65" i="2"/>
  <c r="F65" i="2"/>
  <c r="G65" i="2"/>
  <c r="E66" i="2"/>
  <c r="F66" i="2"/>
  <c r="G66" i="2"/>
  <c r="E67" i="2"/>
  <c r="F67" i="2"/>
  <c r="G67" i="2"/>
  <c r="E68" i="2"/>
  <c r="F68" i="2"/>
  <c r="G68" i="2"/>
  <c r="E69" i="2"/>
  <c r="F69" i="2"/>
  <c r="G69" i="2"/>
  <c r="D66" i="2"/>
  <c r="D67" i="2"/>
  <c r="D68" i="2"/>
  <c r="D69" i="2"/>
  <c r="D65" i="2"/>
  <c r="K54" i="2"/>
  <c r="K55" i="2"/>
  <c r="K56" i="2"/>
  <c r="K57" i="2"/>
  <c r="K58" i="2"/>
  <c r="K59" i="2"/>
  <c r="K60" i="2"/>
  <c r="K61" i="2"/>
  <c r="K62" i="2"/>
  <c r="J55" i="2"/>
  <c r="J56" i="2"/>
  <c r="J57" i="2"/>
  <c r="J58" i="2"/>
  <c r="J59" i="2"/>
  <c r="J60" i="2"/>
  <c r="J61" i="2"/>
  <c r="J62" i="2"/>
  <c r="J54" i="2"/>
  <c r="E54" i="2"/>
  <c r="F54" i="2"/>
  <c r="G54" i="2"/>
  <c r="E55" i="2"/>
  <c r="F55" i="2"/>
  <c r="G55" i="2"/>
  <c r="E56" i="2"/>
  <c r="F56" i="2"/>
  <c r="G56" i="2"/>
  <c r="E57" i="2"/>
  <c r="F57" i="2"/>
  <c r="G57" i="2"/>
  <c r="E58" i="2"/>
  <c r="F58" i="2"/>
  <c r="G58" i="2"/>
  <c r="E59" i="2"/>
  <c r="F59" i="2"/>
  <c r="G59" i="2"/>
  <c r="E60" i="2"/>
  <c r="F60" i="2"/>
  <c r="G60" i="2"/>
  <c r="E61" i="2"/>
  <c r="F61" i="2"/>
  <c r="G61" i="2"/>
  <c r="E62" i="2"/>
  <c r="F62" i="2"/>
  <c r="G62" i="2"/>
  <c r="D55" i="2"/>
  <c r="D56" i="2"/>
  <c r="D57" i="2"/>
  <c r="D58" i="2"/>
  <c r="D59" i="2"/>
  <c r="D60" i="2"/>
  <c r="D61" i="2"/>
  <c r="D62" i="2"/>
  <c r="D54" i="2"/>
  <c r="K40" i="2"/>
  <c r="K41" i="2"/>
  <c r="K42" i="2"/>
  <c r="K43" i="2"/>
  <c r="K44" i="2"/>
  <c r="K45" i="2"/>
  <c r="K46" i="2"/>
  <c r="K47" i="2"/>
  <c r="K48" i="2"/>
  <c r="K49" i="2"/>
  <c r="K50" i="2"/>
  <c r="K51" i="2"/>
  <c r="J41" i="2"/>
  <c r="J42" i="2"/>
  <c r="J43" i="2"/>
  <c r="J44" i="2"/>
  <c r="J45" i="2"/>
  <c r="J46" i="2"/>
  <c r="J47" i="2"/>
  <c r="J48" i="2"/>
  <c r="J49" i="2"/>
  <c r="J50" i="2"/>
  <c r="J51" i="2"/>
  <c r="J40" i="2"/>
  <c r="E40" i="2"/>
  <c r="F40" i="2"/>
  <c r="G40" i="2"/>
  <c r="E41" i="2"/>
  <c r="F41" i="2"/>
  <c r="G41" i="2"/>
  <c r="E42" i="2"/>
  <c r="F42" i="2"/>
  <c r="G42" i="2"/>
  <c r="E43" i="2"/>
  <c r="F43" i="2"/>
  <c r="G43" i="2"/>
  <c r="E44" i="2"/>
  <c r="F44" i="2"/>
  <c r="G44" i="2"/>
  <c r="E45" i="2"/>
  <c r="F45" i="2"/>
  <c r="G45" i="2"/>
  <c r="E46" i="2"/>
  <c r="F46" i="2"/>
  <c r="G46" i="2"/>
  <c r="E47" i="2"/>
  <c r="F47" i="2"/>
  <c r="G47" i="2"/>
  <c r="E48" i="2"/>
  <c r="F48" i="2"/>
  <c r="G48" i="2"/>
  <c r="E49" i="2"/>
  <c r="F49" i="2"/>
  <c r="G49" i="2"/>
  <c r="E50" i="2"/>
  <c r="F50" i="2"/>
  <c r="G50" i="2"/>
  <c r="E51" i="2"/>
  <c r="F51" i="2"/>
  <c r="G51" i="2"/>
  <c r="D41" i="2"/>
  <c r="D42" i="2"/>
  <c r="D43" i="2"/>
  <c r="D44" i="2"/>
  <c r="D45" i="2"/>
  <c r="D46" i="2"/>
  <c r="D47" i="2"/>
  <c r="D48" i="2"/>
  <c r="D49" i="2"/>
  <c r="D50" i="2"/>
  <c r="D51" i="2"/>
  <c r="D40" i="2"/>
  <c r="H129" i="2"/>
  <c r="I129" i="2"/>
  <c r="L129" i="2"/>
  <c r="M129" i="2"/>
  <c r="N129" i="2"/>
  <c r="O129" i="2"/>
  <c r="P129" i="2"/>
  <c r="Q129" i="2"/>
  <c r="H115" i="2"/>
  <c r="I115" i="2"/>
  <c r="L115" i="2"/>
  <c r="M115" i="2"/>
  <c r="N115" i="2"/>
  <c r="O115" i="2"/>
  <c r="P115" i="2"/>
  <c r="Q115" i="2"/>
  <c r="H102" i="2"/>
  <c r="I102" i="2"/>
  <c r="L102" i="2"/>
  <c r="M102" i="2"/>
  <c r="N102" i="2"/>
  <c r="O102" i="2"/>
  <c r="P102" i="2"/>
  <c r="Q102" i="2"/>
  <c r="H91" i="2"/>
  <c r="I91" i="2"/>
  <c r="L91" i="2"/>
  <c r="M91" i="2"/>
  <c r="N91" i="2"/>
  <c r="O91" i="2"/>
  <c r="P91" i="2"/>
  <c r="Q91" i="2"/>
  <c r="H78" i="2"/>
  <c r="I78" i="2"/>
  <c r="L78" i="2"/>
  <c r="M78" i="2"/>
  <c r="N78" i="2"/>
  <c r="O78" i="2"/>
  <c r="P78" i="2"/>
  <c r="Q78" i="2"/>
  <c r="H70" i="2"/>
  <c r="I70" i="2"/>
  <c r="L70" i="2"/>
  <c r="M70" i="2"/>
  <c r="N70" i="2"/>
  <c r="O70" i="2"/>
  <c r="P70" i="2"/>
  <c r="Q70" i="2"/>
  <c r="H63" i="2"/>
  <c r="I63" i="2"/>
  <c r="L63" i="2"/>
  <c r="M63" i="2"/>
  <c r="N63" i="2"/>
  <c r="O63" i="2"/>
  <c r="P63" i="2"/>
  <c r="Q63" i="2"/>
  <c r="H52" i="2"/>
  <c r="I52" i="2"/>
  <c r="L52" i="2"/>
  <c r="M52" i="2"/>
  <c r="N52" i="2"/>
  <c r="O52" i="2"/>
  <c r="P52" i="2"/>
  <c r="Q52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D38" i="2"/>
  <c r="H30" i="2"/>
  <c r="I30" i="2"/>
  <c r="J30" i="2"/>
  <c r="K30" i="2"/>
  <c r="L30" i="2"/>
  <c r="M30" i="2"/>
  <c r="N30" i="2"/>
  <c r="O30" i="2"/>
  <c r="P30" i="2"/>
  <c r="Q30" i="2"/>
  <c r="J52" i="2" l="1"/>
  <c r="J102" i="2"/>
  <c r="D115" i="2"/>
  <c r="D129" i="2"/>
  <c r="J129" i="2"/>
  <c r="F115" i="2"/>
  <c r="J115" i="2"/>
  <c r="F78" i="2"/>
  <c r="F129" i="2"/>
  <c r="D52" i="2"/>
  <c r="G63" i="2"/>
  <c r="K63" i="2"/>
  <c r="J78" i="2"/>
  <c r="G91" i="2"/>
  <c r="F52" i="2"/>
  <c r="D78" i="2"/>
  <c r="Q130" i="2"/>
  <c r="I130" i="2"/>
  <c r="M130" i="2"/>
  <c r="D70" i="2"/>
  <c r="J70" i="2"/>
  <c r="D91" i="2"/>
  <c r="F91" i="2"/>
  <c r="E91" i="2"/>
  <c r="E52" i="2"/>
  <c r="G52" i="2"/>
  <c r="K52" i="2"/>
  <c r="E63" i="2"/>
  <c r="J63" i="2"/>
  <c r="G70" i="2"/>
  <c r="F70" i="2"/>
  <c r="E70" i="2"/>
  <c r="K70" i="2"/>
  <c r="E78" i="2"/>
  <c r="G78" i="2"/>
  <c r="K78" i="2"/>
  <c r="J91" i="2"/>
  <c r="G102" i="2"/>
  <c r="F102" i="2"/>
  <c r="E102" i="2"/>
  <c r="K102" i="2"/>
  <c r="E115" i="2"/>
  <c r="G115" i="2"/>
  <c r="K115" i="2"/>
  <c r="E129" i="2"/>
  <c r="G129" i="2"/>
  <c r="K129" i="2"/>
  <c r="H130" i="2"/>
  <c r="O130" i="2"/>
  <c r="D63" i="2"/>
  <c r="P130" i="2"/>
  <c r="N130" i="2"/>
  <c r="L130" i="2"/>
  <c r="K91" i="2"/>
  <c r="F63" i="2"/>
  <c r="J130" i="2" l="1"/>
  <c r="F130" i="2"/>
  <c r="E130" i="2"/>
  <c r="E131" i="2" s="1"/>
  <c r="G130" i="2"/>
  <c r="K130" i="2"/>
  <c r="D130" i="2"/>
  <c r="D131" i="2" s="1"/>
  <c r="F131" i="2"/>
  <c r="Q131" i="2" l="1"/>
  <c r="P131" i="2"/>
  <c r="O131" i="2"/>
  <c r="N131" i="2"/>
  <c r="M131" i="2"/>
  <c r="L131" i="2"/>
  <c r="K131" i="2"/>
  <c r="J131" i="2"/>
  <c r="I131" i="2"/>
  <c r="H131" i="2"/>
  <c r="G131" i="2"/>
</calcChain>
</file>

<file path=xl/sharedStrings.xml><?xml version="1.0" encoding="utf-8"?>
<sst xmlns="http://schemas.openxmlformats.org/spreadsheetml/2006/main" count="967" uniqueCount="385">
  <si>
    <t xml:space="preserve">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</si>
  <si>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</si>
  <si>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</si>
  <si>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</si>
  <si>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</si>
  <si>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</si>
  <si>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</si>
  <si>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шт</t>
  </si>
  <si>
    <t>кВт</t>
  </si>
  <si>
    <t>МВт</t>
  </si>
  <si>
    <t>ИТОГО:</t>
  </si>
  <si>
    <t>Филиал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</si>
  <si>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</si>
  <si>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</si>
  <si>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</si>
  <si>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</si>
  <si>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>Приложение № 28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</si>
  <si>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</si>
  <si>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</si>
  <si>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</si>
  <si>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</si>
  <si>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</si>
  <si>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</si>
  <si>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</si>
  <si>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</si>
  <si>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</si>
  <si>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</si>
  <si>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</si>
  <si>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</si>
  <si>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Малкинская группа ПС</t>
  </si>
  <si>
    <t>итого: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</si>
  <si>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</si>
  <si>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</si>
  <si>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</si>
  <si>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</si>
  <si>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</si>
  <si>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</si>
  <si>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</si>
  <si>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</si>
  <si>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</si>
  <si>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</si>
  <si>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</si>
  <si>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</si>
  <si>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</si>
  <si>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</si>
  <si>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</si>
  <si>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</si>
  <si>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</si>
  <si>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</si>
  <si>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</si>
  <si>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</si>
  <si>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</si>
  <si>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</si>
  <si>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</si>
  <si>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</si>
  <si>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</si>
  <si>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</si>
  <si>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</si>
  <si>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</si>
  <si>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</si>
  <si>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</si>
  <si>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</si>
  <si>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</si>
  <si>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</si>
  <si>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</si>
  <si>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</si>
  <si>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</si>
  <si>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</si>
  <si>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</si>
  <si>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</si>
  <si>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</si>
  <si>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</si>
  <si>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</si>
  <si>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</si>
  <si>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</si>
  <si>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</si>
  <si>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</si>
  <si>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</si>
  <si>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</si>
  <si>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</si>
  <si>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</si>
  <si>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</si>
  <si>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</si>
  <si>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</si>
  <si>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</si>
  <si>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</si>
  <si>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</si>
  <si>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</si>
  <si>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</si>
  <si>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</si>
  <si>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</si>
  <si>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</si>
  <si>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</si>
  <si>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</si>
  <si>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</si>
  <si>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</si>
  <si>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</si>
  <si>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</si>
  <si>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</si>
  <si>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</si>
  <si>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</si>
  <si>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</si>
  <si>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</si>
  <si>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</si>
  <si>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</si>
  <si>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</si>
  <si>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</si>
  <si>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</si>
  <si>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</si>
  <si>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</si>
  <si>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</si>
  <si>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</si>
  <si>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</si>
  <si>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</si>
  <si>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</si>
  <si>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</si>
  <si>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</si>
  <si>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</si>
  <si>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</si>
  <si>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</si>
  <si>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84/12 от 24.09.12</t>
  </si>
  <si>
    <t>УФК по КБР</t>
  </si>
  <si>
    <t>82/12 от 24.09.12</t>
  </si>
  <si>
    <t>65/12 от 18.07.12</t>
  </si>
  <si>
    <t>ФГУП "УВО Минтранс России СК Филиал"</t>
  </si>
  <si>
    <t>17/13 от 12.03.13</t>
  </si>
  <si>
    <t>ООО Тлепш</t>
  </si>
  <si>
    <t>18/13 от 12.03.13</t>
  </si>
  <si>
    <t>19/13 от 12.03.13</t>
  </si>
  <si>
    <t>21/13 от 19.03.13</t>
  </si>
  <si>
    <t>106/11 от 30.12.11</t>
  </si>
  <si>
    <t>ООО Нальчикский МК</t>
  </si>
  <si>
    <t>41/10 от 07.07.2010г</t>
  </si>
  <si>
    <t>ОАО Вымпелком</t>
  </si>
  <si>
    <t>77/10 от 17.11.2010г</t>
  </si>
  <si>
    <t>26/11 от 06.05.2011г</t>
  </si>
  <si>
    <t>Кабардино- Балкарсикй филиал ОАО "МРСК Северного Кавказа"</t>
  </si>
  <si>
    <t>Кабардино- Балкарская Республика</t>
  </si>
  <si>
    <t>* отчет не учитывает заявки потребителей максимальной присоединенной мощностью более 670 кВт</t>
  </si>
  <si>
    <t>Расторгнутые договора</t>
  </si>
  <si>
    <t>Информация о технологическом присоединении энергопринимающих устройств к сетям КБ филиалом ОАО "МРСК Северного Кавказа" за Ноябрь 2013г.</t>
  </si>
  <si>
    <t>РТРС</t>
  </si>
  <si>
    <t>72/11 от 12.10.11</t>
  </si>
  <si>
    <t>КСТ Калоев</t>
  </si>
  <si>
    <t>57/13 от            03.07.2013</t>
  </si>
  <si>
    <t>77/12 от            12.08.2012</t>
  </si>
  <si>
    <t>ЦЕНТРАЛЬНЫЕ СЕТИ</t>
  </si>
  <si>
    <t>Сулак</t>
  </si>
  <si>
    <t>СЕВЕРНЫЕ СЕТИ</t>
  </si>
  <si>
    <t>Акташ</t>
  </si>
  <si>
    <t>Куруш</t>
  </si>
  <si>
    <t>Сулевкент</t>
  </si>
  <si>
    <t>Бабаюрт</t>
  </si>
  <si>
    <t>Дылым</t>
  </si>
  <si>
    <t>ГЩЗ</t>
  </si>
  <si>
    <t>Миатлы</t>
  </si>
  <si>
    <t>Львовская</t>
  </si>
  <si>
    <t>Дагестан</t>
  </si>
  <si>
    <t>Аксай</t>
  </si>
  <si>
    <t>Чагаротар</t>
  </si>
  <si>
    <t>Гертма</t>
  </si>
  <si>
    <t>Татаюрт</t>
  </si>
  <si>
    <t>Тамазатюбе</t>
  </si>
  <si>
    <t>Туршунай</t>
  </si>
  <si>
    <t>Новокули</t>
  </si>
  <si>
    <t>Янгильбай</t>
  </si>
  <si>
    <t>Шава</t>
  </si>
  <si>
    <t>Свердлова</t>
  </si>
  <si>
    <t>Казиюрт</t>
  </si>
  <si>
    <t>Аликазган</t>
  </si>
  <si>
    <t>Сивух</t>
  </si>
  <si>
    <t>Костек</t>
  </si>
  <si>
    <t>Дружба</t>
  </si>
  <si>
    <t>Дубки</t>
  </si>
  <si>
    <t>Карланюрт -(Тяговая)</t>
  </si>
  <si>
    <t>Дербент-330</t>
  </si>
  <si>
    <t>Дербент-С</t>
  </si>
  <si>
    <t>Мамедкала</t>
  </si>
  <si>
    <t>Каякент</t>
  </si>
  <si>
    <t>Белиджи</t>
  </si>
  <si>
    <t>Касумкент</t>
  </si>
  <si>
    <t>Советская</t>
  </si>
  <si>
    <t>Магарамкент</t>
  </si>
  <si>
    <t>Тагиркент</t>
  </si>
  <si>
    <t>Ахты</t>
  </si>
  <si>
    <t>Огни</t>
  </si>
  <si>
    <t>Усухчай</t>
  </si>
  <si>
    <t xml:space="preserve">Заречная </t>
  </si>
  <si>
    <t>Дербент-Запад</t>
  </si>
  <si>
    <t>Араблинка</t>
  </si>
  <si>
    <t>Геджух</t>
  </si>
  <si>
    <t>Самур</t>
  </si>
  <si>
    <t>Кайтаг</t>
  </si>
  <si>
    <t>Капир</t>
  </si>
  <si>
    <t>Родниковая</t>
  </si>
  <si>
    <t>Курах</t>
  </si>
  <si>
    <t>Рутул</t>
  </si>
  <si>
    <t>Лучек</t>
  </si>
  <si>
    <t>Зрых</t>
  </si>
  <si>
    <t>Заря</t>
  </si>
  <si>
    <t>Джимикент</t>
  </si>
  <si>
    <t>Капкаякент</t>
  </si>
  <si>
    <t>Утамыш-Н</t>
  </si>
  <si>
    <t>Утамыш-С</t>
  </si>
  <si>
    <t>Уркута</t>
  </si>
  <si>
    <t>Кубачи</t>
  </si>
  <si>
    <t>Уркарах-С</t>
  </si>
  <si>
    <t>Уркарах-Н</t>
  </si>
  <si>
    <t>Хучни</t>
  </si>
  <si>
    <t>Сыртыч</t>
  </si>
  <si>
    <t>Ерси</t>
  </si>
  <si>
    <t>Цанак</t>
  </si>
  <si>
    <t>Хив</t>
  </si>
  <si>
    <t>Тпиг</t>
  </si>
  <si>
    <t>Агул</t>
  </si>
  <si>
    <t>Сардаркент</t>
  </si>
  <si>
    <t>Кировская</t>
  </si>
  <si>
    <t>Маджалис</t>
  </si>
  <si>
    <t>Первомайская</t>
  </si>
  <si>
    <t>Шиляги</t>
  </si>
  <si>
    <t>Набережная</t>
  </si>
  <si>
    <t xml:space="preserve">Пионер </t>
  </si>
  <si>
    <t>Морская</t>
  </si>
  <si>
    <t>ДЕРБЕНТСКИЕ СЕТИ</t>
  </si>
  <si>
    <t>Кизляр-1</t>
  </si>
  <si>
    <t>Кизляр-2</t>
  </si>
  <si>
    <t>Хуцеевка</t>
  </si>
  <si>
    <t>Серебряковка</t>
  </si>
  <si>
    <t>Октябрьская</t>
  </si>
  <si>
    <t>Некрасовка</t>
  </si>
  <si>
    <t>Б-Арешевка</t>
  </si>
  <si>
    <t>Александрия</t>
  </si>
  <si>
    <t>Крайновка</t>
  </si>
  <si>
    <t>Огузер</t>
  </si>
  <si>
    <t>Черняевка</t>
  </si>
  <si>
    <t>Брянск</t>
  </si>
  <si>
    <t>Тарумовка</t>
  </si>
  <si>
    <t>Калиновка</t>
  </si>
  <si>
    <t>Привольная</t>
  </si>
  <si>
    <t>Таловка</t>
  </si>
  <si>
    <t>Арсланбек</t>
  </si>
  <si>
    <t>Кочубей</t>
  </si>
  <si>
    <t>Кормоцех</t>
  </si>
  <si>
    <t>Коминтерн</t>
  </si>
  <si>
    <t>Ч.Буруны</t>
  </si>
  <si>
    <t>Кумли</t>
  </si>
  <si>
    <t>Карагас</t>
  </si>
  <si>
    <t>Кунбатар</t>
  </si>
  <si>
    <t>КЭМЗ</t>
  </si>
  <si>
    <t>Джигильта</t>
  </si>
  <si>
    <t>ЗАТЕРЕЧНЫЕ СЕТИ</t>
  </si>
  <si>
    <t>Юж-Сухокумск</t>
  </si>
  <si>
    <t>Кр.партизан</t>
  </si>
  <si>
    <t>3-я ферма</t>
  </si>
  <si>
    <t>Солончаковая</t>
  </si>
  <si>
    <t>Ногайская</t>
  </si>
  <si>
    <t>Степная</t>
  </si>
  <si>
    <t>Бажиган</t>
  </si>
  <si>
    <t>Грузинская</t>
  </si>
  <si>
    <t>ЮЖНО-СУХОКУМСКИЕ СЕТИ</t>
  </si>
  <si>
    <t>п\с 110\35\6 "ЗФС"</t>
  </si>
  <si>
    <t>п\с 35\10 Нечаевка</t>
  </si>
  <si>
    <t>п\с Гулькутан</t>
  </si>
  <si>
    <t>Шамхалянгиюрт</t>
  </si>
  <si>
    <t>Стальск</t>
  </si>
  <si>
    <t>КИЗИЛЮРТОВСКИЕ СЕТИ</t>
  </si>
  <si>
    <t>ПС Гергебиль-110</t>
  </si>
  <si>
    <t>ГГЭС</t>
  </si>
  <si>
    <t>ПС  Карадах-110</t>
  </si>
  <si>
    <t>Тлайлух-110</t>
  </si>
  <si>
    <t>ПС Леваши-110</t>
  </si>
  <si>
    <t>ПС Цудахар-110</t>
  </si>
  <si>
    <t>Ташкапур-35</t>
  </si>
  <si>
    <t>ПС Хунзах-110</t>
  </si>
  <si>
    <t>ПС Тлох-110</t>
  </si>
  <si>
    <t>Гуниб-110</t>
  </si>
  <si>
    <t>Акуша</t>
  </si>
  <si>
    <t>Кумух-35</t>
  </si>
  <si>
    <t>Вачи-35</t>
  </si>
  <si>
    <t>Ботлих</t>
  </si>
  <si>
    <t>Агвали-35</t>
  </si>
  <si>
    <t>Карата-35</t>
  </si>
  <si>
    <t>Прогресс-35</t>
  </si>
  <si>
    <t>Мехельта-35</t>
  </si>
  <si>
    <t>Цуриб-35</t>
  </si>
  <si>
    <t>Согратль-35</t>
  </si>
  <si>
    <t>Унцукуль-35</t>
  </si>
  <si>
    <t>Шамильское-110</t>
  </si>
  <si>
    <t>Тлярата-35</t>
  </si>
  <si>
    <t>Бежта-35</t>
  </si>
  <si>
    <t>Анцух-35</t>
  </si>
  <si>
    <t>Заиб</t>
  </si>
  <si>
    <t>Гидатль-35</t>
  </si>
  <si>
    <t>Анди-35</t>
  </si>
  <si>
    <t>Аргвани</t>
  </si>
  <si>
    <t xml:space="preserve">Шаури </t>
  </si>
  <si>
    <t>ГКЗ</t>
  </si>
  <si>
    <t>Игали-35</t>
  </si>
  <si>
    <t>Наци</t>
  </si>
  <si>
    <t>Зуберха</t>
  </si>
  <si>
    <t>Кидеро</t>
  </si>
  <si>
    <t>ЦРП</t>
  </si>
  <si>
    <t>Н.Ирганай</t>
  </si>
  <si>
    <t>Гоцатлинская</t>
  </si>
  <si>
    <t>Сагри</t>
  </si>
  <si>
    <t>ГЕРГЕБИЛЬСКИЕ СЕТИ</t>
  </si>
  <si>
    <t>ПС ГПП</t>
  </si>
  <si>
    <t>ПС Новая</t>
  </si>
  <si>
    <t>ПС ЦПП</t>
  </si>
  <si>
    <t>ПС М-110</t>
  </si>
  <si>
    <t>ПС Очистные соор.</t>
  </si>
  <si>
    <t>ПС Ю-Восточная</t>
  </si>
  <si>
    <t>ПС Приморская</t>
  </si>
  <si>
    <t>ПС Насосная -1</t>
  </si>
  <si>
    <t>ПС Радиоцентр</t>
  </si>
  <si>
    <t>ПС Изберг- Сев.</t>
  </si>
  <si>
    <t>ПС Изберг- Южн.</t>
  </si>
  <si>
    <t>ПС Карабуд-т</t>
  </si>
  <si>
    <t>ПС Рассвет</t>
  </si>
  <si>
    <t>ПС Шамхал</t>
  </si>
  <si>
    <t>ПС Сергокала</t>
  </si>
  <si>
    <t>ПС Алмало</t>
  </si>
  <si>
    <t>ПС Буйнакск -1</t>
  </si>
  <si>
    <t>ПС Буйнакск -2</t>
  </si>
  <si>
    <t>ПС Казанище</t>
  </si>
  <si>
    <t>ПС Согратль</t>
  </si>
  <si>
    <t>ПС Дженгутай</t>
  </si>
  <si>
    <t>ПС Такалай</t>
  </si>
  <si>
    <t>ПС Параул</t>
  </si>
  <si>
    <t>ПС Восточная</t>
  </si>
  <si>
    <t>ПС Приозерная</t>
  </si>
  <si>
    <t>ПС Солнце</t>
  </si>
  <si>
    <t>ПС Компас</t>
  </si>
  <si>
    <t>ПС Сулак</t>
  </si>
  <si>
    <t>ПС НИИСХА</t>
  </si>
  <si>
    <t>ПС Тепл. Комбинат</t>
  </si>
  <si>
    <t>ПС Насосная - 2</t>
  </si>
  <si>
    <t>ПС Ленинкент</t>
  </si>
  <si>
    <t>ПС Дурмаз</t>
  </si>
  <si>
    <t>ПС Эрпели</t>
  </si>
  <si>
    <t>ПС Гурбуки</t>
  </si>
  <si>
    <t>ПС Халимбекаул</t>
  </si>
  <si>
    <t>ПС Мулебки</t>
  </si>
  <si>
    <t>ПС Н. Чиркей</t>
  </si>
  <si>
    <t>ПС КПФ</t>
  </si>
  <si>
    <t>ПС Аграханская</t>
  </si>
  <si>
    <t>Михеевка</t>
  </si>
  <si>
    <t>С.Коса</t>
  </si>
  <si>
    <t>22\П\Съезд</t>
  </si>
  <si>
    <t>Т-Мектеб</t>
  </si>
  <si>
    <t>Ярыксу</t>
  </si>
  <si>
    <t>Чиркей</t>
  </si>
  <si>
    <t>Хамам-юрт</t>
  </si>
  <si>
    <t>Новая коса</t>
  </si>
  <si>
    <t>Караузбек</t>
  </si>
  <si>
    <t>Димитрова</t>
  </si>
  <si>
    <t>Андрейаул</t>
  </si>
  <si>
    <t>Акбула-Тюрт</t>
  </si>
  <si>
    <t>Д Консер.з-д</t>
  </si>
  <si>
    <t>миарсо</t>
  </si>
  <si>
    <t>Республика Дагестан</t>
  </si>
  <si>
    <t>Андрейаул (Эндирей)</t>
  </si>
  <si>
    <t>ПС ЗТМ (Т, Механика)</t>
  </si>
  <si>
    <t>ГЩЗ (Кизилюртовская</t>
  </si>
  <si>
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</si>
  <si>
    <t>исполненные</t>
  </si>
  <si>
    <t>дек</t>
  </si>
  <si>
    <t>ноя</t>
  </si>
  <si>
    <t>окт</t>
  </si>
  <si>
    <t>сент</t>
  </si>
  <si>
    <t>авг</t>
  </si>
  <si>
    <t>июл</t>
  </si>
  <si>
    <t>июн</t>
  </si>
  <si>
    <t>май</t>
  </si>
  <si>
    <t>апр</t>
  </si>
  <si>
    <t>март</t>
  </si>
  <si>
    <t>фев</t>
  </si>
  <si>
    <t>янв</t>
  </si>
  <si>
    <t>квт 6-10</t>
  </si>
  <si>
    <t>итого</t>
  </si>
  <si>
    <t>6-10.</t>
  </si>
  <si>
    <t>шамхал</t>
  </si>
  <si>
    <t>махачкала</t>
  </si>
  <si>
    <t>крайновка</t>
  </si>
  <si>
    <t>* в  ОАО "Дагэнергосеть"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</si>
</sst>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"/>
    <numFmt numFmtId="165" formatCode="0.0"/>
  </numFmts>
  <fonts count="2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1.5"/>
      <name val="Arial Cyr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b/>
      <sz val="11"/>
      <name val="Arial Cyr"/>
      <charset val="204"/>
    </font>
    <font>
      <sz val="10"/>
      <color rgb="FFFF0000"/>
      <name val="Arial Cyr"/>
      <charset val="204"/>
    </font>
    <font>
      <b/>
      <sz val="8"/>
      <name val="Times New Roman"/>
      <family val="1"/>
      <charset val="204"/>
    </font>
    <font>
      <b/>
      <sz val="1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</borders>
  <cellStyleXfs count="13">
    <xf numFmtId="0" fontId="0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  <xf numFmtId="0" fontId="1" fillId="0" borderId="0"/>
    <xf numFmtId="0" fontId="8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/>
  </cellStyleXfs>
  <cellXfs count="157">
    <xf numFmtId="0" fontId="0" fillId="0" borderId="0" xfId="0"/>
    <xf numFmtId="0" fontId="3" fillId="0" borderId="0" xfId="0" applyFont="1" applyAlignment="1">
      <alignment horizontal="center"/>
    </xf>
    <xf numFmtId="0" fontId="6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0" fillId="0" borderId="9" xfId="0" applyBorder="1"/>
    <xf numFmtId="0" fontId="0" fillId="0" borderId="10" xfId="0" applyBorder="1" applyAlignment="1">
      <alignment horizontal="center"/>
    </xf>
    <xf numFmtId="1" fontId="7" fillId="0" borderId="10" xfId="0" applyNumberFormat="1" applyFont="1" applyBorder="1" applyAlignment="1">
      <alignment horizontal="center" vertical="top"/>
    </xf>
    <xf numFmtId="0" fontId="7" fillId="0" borderId="10" xfId="0" applyFont="1" applyBorder="1"/>
    <xf numFmtId="3" fontId="7" fillId="4" borderId="10" xfId="0" applyNumberFormat="1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center" vertical="center"/>
    </xf>
    <xf numFmtId="0" fontId="0" fillId="0" borderId="0" xfId="0" applyBorder="1"/>
    <xf numFmtId="0" fontId="7" fillId="0" borderId="11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/>
    </xf>
    <xf numFmtId="0" fontId="4" fillId="0" borderId="0" xfId="0" applyFont="1" applyBorder="1" applyAlignment="1">
      <alignment horizontal="center"/>
    </xf>
    <xf numFmtId="0" fontId="3" fillId="0" borderId="0" xfId="0" applyFont="1" applyAlignment="1"/>
    <xf numFmtId="0" fontId="0" fillId="0" borderId="10" xfId="0" applyBorder="1"/>
    <xf numFmtId="0" fontId="2" fillId="0" borderId="10" xfId="4" applyFont="1" applyFill="1" applyBorder="1" applyAlignment="1">
      <alignment horizontal="center" vertical="top" wrapText="1"/>
    </xf>
    <xf numFmtId="0" fontId="7" fillId="0" borderId="10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11" xfId="4" applyFont="1" applyFill="1" applyBorder="1" applyAlignment="1">
      <alignment horizontal="center" vertical="top" wrapText="1"/>
    </xf>
    <xf numFmtId="0" fontId="11" fillId="3" borderId="10" xfId="0" applyFont="1" applyFill="1" applyBorder="1" applyAlignment="1">
      <alignment horizontal="center" wrapText="1"/>
    </xf>
    <xf numFmtId="2" fontId="12" fillId="0" borderId="10" xfId="4" applyNumberFormat="1" applyFont="1" applyFill="1" applyBorder="1"/>
    <xf numFmtId="0" fontId="13" fillId="0" borderId="10" xfId="12" applyFont="1" applyFill="1" applyBorder="1" applyAlignment="1">
      <alignment horizontal="center" vertical="center"/>
    </xf>
    <xf numFmtId="0" fontId="14" fillId="0" borderId="10" xfId="12" applyFont="1" applyFill="1" applyBorder="1" applyAlignment="1">
      <alignment vertical="center" wrapText="1"/>
    </xf>
    <xf numFmtId="0" fontId="14" fillId="0" borderId="10" xfId="12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0" xfId="0" applyFill="1"/>
    <xf numFmtId="2" fontId="0" fillId="0" borderId="10" xfId="0" applyNumberForma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0" xfId="0" applyFill="1" applyBorder="1"/>
    <xf numFmtId="1" fontId="7" fillId="0" borderId="10" xfId="0" applyNumberFormat="1" applyFont="1" applyFill="1" applyBorder="1" applyAlignment="1">
      <alignment horizontal="center" vertical="top"/>
    </xf>
    <xf numFmtId="3" fontId="7" fillId="0" borderId="10" xfId="0" applyNumberFormat="1" applyFont="1" applyFill="1" applyBorder="1" applyAlignment="1">
      <alignment horizontal="center" vertical="center"/>
    </xf>
    <xf numFmtId="164" fontId="7" fillId="0" borderId="10" xfId="0" applyNumberFormat="1" applyFont="1" applyFill="1" applyBorder="1" applyAlignment="1">
      <alignment horizontal="center" vertical="center"/>
    </xf>
    <xf numFmtId="16" fontId="13" fillId="0" borderId="12" xfId="12" applyNumberFormat="1" applyFont="1" applyFill="1" applyBorder="1" applyAlignment="1">
      <alignment vertical="center" wrapText="1"/>
    </xf>
    <xf numFmtId="0" fontId="13" fillId="0" borderId="10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vertical="center" wrapText="1"/>
    </xf>
    <xf numFmtId="0" fontId="14" fillId="0" borderId="9" xfId="12" applyFont="1" applyFill="1" applyBorder="1" applyAlignment="1">
      <alignment horizontal="center" vertical="center" wrapText="1"/>
    </xf>
    <xf numFmtId="0" fontId="14" fillId="0" borderId="10" xfId="12" applyFont="1" applyFill="1" applyBorder="1" applyAlignment="1">
      <alignment horizontal="left" wrapText="1"/>
    </xf>
    <xf numFmtId="0" fontId="14" fillId="0" borderId="10" xfId="12" applyFont="1" applyFill="1" applyBorder="1" applyAlignment="1">
      <alignment horizontal="center" wrapText="1"/>
    </xf>
    <xf numFmtId="0" fontId="14" fillId="3" borderId="10" xfId="4" applyFont="1" applyFill="1" applyBorder="1" applyAlignment="1">
      <alignment horizontal="center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5" fillId="0" borderId="10" xfId="0" applyFont="1" applyFill="1" applyBorder="1"/>
    <xf numFmtId="0" fontId="16" fillId="0" borderId="0" xfId="0" applyFont="1" applyFill="1"/>
    <xf numFmtId="0" fontId="16" fillId="0" borderId="12" xfId="4" applyFont="1" applyFill="1" applyBorder="1" applyAlignment="1">
      <alignment horizontal="center" wrapText="1"/>
    </xf>
    <xf numFmtId="0" fontId="0" fillId="0" borderId="12" xfId="0" applyBorder="1"/>
    <xf numFmtId="0" fontId="15" fillId="0" borderId="17" xfId="0" applyFont="1" applyFill="1" applyBorder="1"/>
    <xf numFmtId="0" fontId="16" fillId="0" borderId="18" xfId="4" applyFont="1" applyFill="1" applyBorder="1" applyAlignment="1">
      <alignment horizontal="center" wrapText="1"/>
    </xf>
    <xf numFmtId="0" fontId="2" fillId="0" borderId="10" xfId="0" applyFont="1" applyFill="1" applyBorder="1"/>
    <xf numFmtId="0" fontId="15" fillId="0" borderId="10" xfId="0" quotePrefix="1" applyFont="1" applyFill="1" applyBorder="1" applyAlignment="1">
      <alignment horizontal="left"/>
    </xf>
    <xf numFmtId="0" fontId="16" fillId="0" borderId="19" xfId="0" applyFont="1" applyFill="1" applyBorder="1"/>
    <xf numFmtId="0" fontId="2" fillId="0" borderId="9" xfId="4" applyFont="1" applyFill="1" applyBorder="1" applyAlignment="1">
      <alignment horizontal="center" vertical="top" wrapText="1"/>
    </xf>
    <xf numFmtId="0" fontId="16" fillId="0" borderId="10" xfId="0" quotePrefix="1" applyFont="1" applyFill="1" applyBorder="1" applyAlignment="1">
      <alignment horizontal="left"/>
    </xf>
    <xf numFmtId="0" fontId="6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4" fontId="0" fillId="0" borderId="0" xfId="0" applyNumberFormat="1" applyFill="1"/>
    <xf numFmtId="2" fontId="0" fillId="5" borderId="10" xfId="0" applyNumberForma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1" fontId="12" fillId="0" borderId="10" xfId="4" applyNumberFormat="1" applyFont="1" applyFill="1" applyBorder="1" applyAlignment="1">
      <alignment horizontal="left" indent="3"/>
    </xf>
    <xf numFmtId="1" fontId="12" fillId="0" borderId="10" xfId="4" applyNumberFormat="1" applyFont="1" applyFill="1" applyBorder="1" applyAlignment="1">
      <alignment horizontal="left" indent="4"/>
    </xf>
    <xf numFmtId="2" fontId="7" fillId="0" borderId="10" xfId="0" applyNumberFormat="1" applyFont="1" applyFill="1" applyBorder="1" applyAlignment="1">
      <alignment horizontal="center"/>
    </xf>
    <xf numFmtId="0" fontId="7" fillId="0" borderId="9" xfId="4" applyFont="1" applyFill="1" applyBorder="1" applyAlignment="1">
      <alignment horizontal="center" vertical="top" wrapText="1"/>
    </xf>
    <xf numFmtId="0" fontId="0" fillId="0" borderId="10" xfId="4" applyFont="1" applyFill="1" applyBorder="1" applyAlignment="1">
      <alignment horizontal="center" vertical="top" wrapText="1"/>
    </xf>
    <xf numFmtId="2" fontId="17" fillId="3" borderId="10" xfId="0" applyNumberFormat="1" applyFont="1" applyFill="1" applyBorder="1" applyAlignment="1">
      <alignment horizontal="center"/>
    </xf>
    <xf numFmtId="2" fontId="0" fillId="0" borderId="10" xfId="0" applyNumberFormat="1" applyFont="1" applyFill="1" applyBorder="1" applyAlignment="1">
      <alignment horizontal="center"/>
    </xf>
    <xf numFmtId="2" fontId="0" fillId="5" borderId="10" xfId="0" applyNumberFormat="1" applyFont="1" applyFill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0" fontId="7" fillId="0" borderId="0" xfId="0" applyFont="1" applyFill="1" applyBorder="1"/>
    <xf numFmtId="16" fontId="18" fillId="0" borderId="12" xfId="12" applyNumberFormat="1" applyFont="1" applyFill="1" applyBorder="1" applyAlignment="1">
      <alignment vertical="center" wrapText="1"/>
    </xf>
    <xf numFmtId="0" fontId="18" fillId="3" borderId="10" xfId="12" applyFont="1" applyFill="1" applyBorder="1" applyAlignment="1">
      <alignment horizontal="center" vertical="center" wrapText="1"/>
    </xf>
    <xf numFmtId="0" fontId="18" fillId="0" borderId="10" xfId="12" applyFont="1" applyFill="1" applyBorder="1" applyAlignment="1">
      <alignment horizontal="center" vertical="center" wrapText="1"/>
    </xf>
    <xf numFmtId="0" fontId="0" fillId="5" borderId="0" xfId="0" applyFill="1"/>
    <xf numFmtId="16" fontId="13" fillId="5" borderId="12" xfId="12" applyNumberFormat="1" applyFont="1" applyFill="1" applyBorder="1" applyAlignment="1">
      <alignment vertical="center" wrapText="1"/>
    </xf>
    <xf numFmtId="0" fontId="13" fillId="5" borderId="10" xfId="12" applyFont="1" applyFill="1" applyBorder="1" applyAlignment="1">
      <alignment horizontal="center" vertical="center" wrapText="1"/>
    </xf>
    <xf numFmtId="3" fontId="0" fillId="5" borderId="0" xfId="0" applyNumberFormat="1" applyFill="1"/>
    <xf numFmtId="4" fontId="0" fillId="5" borderId="0" xfId="0" applyNumberFormat="1" applyFill="1"/>
    <xf numFmtId="0" fontId="14" fillId="5" borderId="12" xfId="12" applyFont="1" applyFill="1" applyBorder="1" applyAlignment="1">
      <alignment vertical="center" wrapText="1"/>
    </xf>
    <xf numFmtId="0" fontId="14" fillId="5" borderId="12" xfId="12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top" wrapText="1"/>
    </xf>
    <xf numFmtId="0" fontId="14" fillId="0" borderId="12" xfId="12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6" fillId="0" borderId="12" xfId="4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3" fontId="7" fillId="0" borderId="0" xfId="0" applyNumberFormat="1" applyFont="1" applyFill="1"/>
    <xf numFmtId="164" fontId="7" fillId="0" borderId="0" xfId="0" applyNumberFormat="1" applyFont="1" applyFill="1"/>
    <xf numFmtId="0" fontId="0" fillId="0" borderId="10" xfId="0" applyFill="1" applyBorder="1" applyAlignment="1">
      <alignment horizontal="center"/>
    </xf>
    <xf numFmtId="165" fontId="19" fillId="5" borderId="10" xfId="0" applyNumberFormat="1" applyFont="1" applyFill="1" applyBorder="1" applyAlignment="1">
      <alignment vertical="center" wrapText="1"/>
    </xf>
    <xf numFmtId="165" fontId="19" fillId="0" borderId="10" xfId="0" applyNumberFormat="1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65" fontId="0" fillId="0" borderId="0" xfId="0" applyNumberFormat="1"/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0" fillId="0" borderId="10" xfId="0" applyFill="1" applyBorder="1" applyAlignment="1">
      <alignment horizontal="center"/>
    </xf>
    <xf numFmtId="0" fontId="6" fillId="0" borderId="20" xfId="0" applyFont="1" applyFill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7" fillId="0" borderId="22" xfId="0" applyFont="1" applyFill="1" applyBorder="1" applyAlignment="1">
      <alignment horizontal="center" vertical="top" wrapText="1"/>
    </xf>
    <xf numFmtId="0" fontId="7" fillId="0" borderId="23" xfId="0" applyFont="1" applyFill="1" applyBorder="1" applyAlignment="1">
      <alignment horizontal="center" vertical="top" wrapText="1"/>
    </xf>
    <xf numFmtId="0" fontId="9" fillId="0" borderId="10" xfId="4" applyFont="1" applyFill="1" applyBorder="1" applyAlignment="1">
      <alignment horizontal="center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14" fillId="3" borderId="12" xfId="12" applyFont="1" applyFill="1" applyBorder="1" applyAlignment="1">
      <alignment horizontal="center" vertical="center" wrapText="1"/>
    </xf>
    <xf numFmtId="0" fontId="14" fillId="3" borderId="13" xfId="12" applyFont="1" applyFill="1" applyBorder="1" applyAlignment="1">
      <alignment horizontal="center" vertical="center" wrapText="1"/>
    </xf>
    <xf numFmtId="0" fontId="14" fillId="0" borderId="12" xfId="12" applyFont="1" applyFill="1" applyBorder="1" applyAlignment="1">
      <alignment horizontal="center" wrapText="1"/>
    </xf>
    <xf numFmtId="0" fontId="14" fillId="0" borderId="13" xfId="12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7" fillId="0" borderId="16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15" xfId="0" applyFont="1" applyFill="1" applyBorder="1" applyAlignment="1">
      <alignment vertical="top" wrapText="1"/>
    </xf>
    <xf numFmtId="0" fontId="6" fillId="0" borderId="12" xfId="0" applyFont="1" applyFill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top" wrapText="1"/>
    </xf>
    <xf numFmtId="0" fontId="9" fillId="0" borderId="12" xfId="4" applyFont="1" applyFill="1" applyBorder="1" applyAlignment="1">
      <alignment horizontal="center" wrapText="1"/>
    </xf>
    <xf numFmtId="0" fontId="9" fillId="0" borderId="13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13" fillId="3" borderId="10" xfId="12" applyFont="1" applyFill="1" applyBorder="1" applyAlignment="1">
      <alignment horizontal="center" vertical="center" wrapText="1"/>
    </xf>
    <xf numFmtId="0" fontId="16" fillId="0" borderId="12" xfId="4" applyFont="1" applyFill="1" applyBorder="1" applyAlignment="1">
      <alignment horizontal="center" wrapText="1"/>
    </xf>
    <xf numFmtId="0" fontId="16" fillId="0" borderId="13" xfId="4" applyFont="1" applyFill="1" applyBorder="1" applyAlignment="1">
      <alignment horizontal="center" wrapText="1"/>
    </xf>
  </cellXfs>
  <cellStyles count="13">
    <cellStyle name="Обычный" xfId="0" builtinId="0"/>
    <cellStyle name="Обычный 10" xfId="1"/>
    <cellStyle name="Обычный 11" xfId="2"/>
    <cellStyle name="Обычный 12" xfId="3"/>
    <cellStyle name="Обычный 2" xfId="4"/>
    <cellStyle name="Обычный 3" xfId="5"/>
    <cellStyle name="Обычный 4" xfId="6"/>
    <cellStyle name="Обычный 5" xfId="7"/>
    <cellStyle name="Обычный 5 2" xfId="12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usernames" Target="revisions/userNam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329" Type="http://schemas.openxmlformats.org/officeDocument/2006/relationships/revisionLog" Target="revisionLog112.xml"/><Relationship Id="rId308" Type="http://schemas.openxmlformats.org/officeDocument/2006/relationships/revisionLog" Target="revisionLog19.xml"/><Relationship Id="rId316" Type="http://schemas.openxmlformats.org/officeDocument/2006/relationships/revisionLog" Target="revisionLog110121.xml"/><Relationship Id="rId337" Type="http://schemas.openxmlformats.org/officeDocument/2006/relationships/revisionLog" Target="revisionLog11321.xml"/><Relationship Id="rId324" Type="http://schemas.openxmlformats.org/officeDocument/2006/relationships/revisionLog" Target="revisionLog1121.xml"/><Relationship Id="rId340" Type="http://schemas.openxmlformats.org/officeDocument/2006/relationships/revisionLog" Target="revisionLog114.xml"/><Relationship Id="rId345" Type="http://schemas.openxmlformats.org/officeDocument/2006/relationships/revisionLog" Target="revisionLog115.xml"/><Relationship Id="rId361" Type="http://schemas.openxmlformats.org/officeDocument/2006/relationships/revisionLog" Target="revisionLog11.xml"/><Relationship Id="rId366" Type="http://schemas.openxmlformats.org/officeDocument/2006/relationships/revisionLog" Target="revisionLog12.xml"/><Relationship Id="rId311" Type="http://schemas.openxmlformats.org/officeDocument/2006/relationships/revisionLog" Target="revisionLog1101211.xml"/><Relationship Id="rId332" Type="http://schemas.openxmlformats.org/officeDocument/2006/relationships/revisionLog" Target="revisionLog11313.xml"/><Relationship Id="rId353" Type="http://schemas.openxmlformats.org/officeDocument/2006/relationships/revisionLog" Target="revisionLog1261.xml"/><Relationship Id="rId358" Type="http://schemas.openxmlformats.org/officeDocument/2006/relationships/revisionLog" Target="revisionLog127.xml"/><Relationship Id="rId374" Type="http://schemas.openxmlformats.org/officeDocument/2006/relationships/revisionLog" Target="revisionLog13.xml"/><Relationship Id="rId306" Type="http://schemas.openxmlformats.org/officeDocument/2006/relationships/revisionLog" Target="revisionLog1141.xml"/><Relationship Id="rId319" Type="http://schemas.openxmlformats.org/officeDocument/2006/relationships/revisionLog" Target="revisionLog1122.xml"/><Relationship Id="rId314" Type="http://schemas.openxmlformats.org/officeDocument/2006/relationships/revisionLog" Target="revisionLog11221.xml"/><Relationship Id="rId330" Type="http://schemas.openxmlformats.org/officeDocument/2006/relationships/revisionLog" Target="revisionLog117.xml"/><Relationship Id="rId335" Type="http://schemas.openxmlformats.org/officeDocument/2006/relationships/revisionLog" Target="revisionLog118.xml"/><Relationship Id="rId356" Type="http://schemas.openxmlformats.org/officeDocument/2006/relationships/revisionLog" Target="revisionLog121.xml"/><Relationship Id="rId369" Type="http://schemas.openxmlformats.org/officeDocument/2006/relationships/revisionLog" Target="revisionLog153.xml"/><Relationship Id="rId322" Type="http://schemas.openxmlformats.org/officeDocument/2006/relationships/revisionLog" Target="revisionLog1151.xml"/><Relationship Id="rId327" Type="http://schemas.openxmlformats.org/officeDocument/2006/relationships/revisionLog" Target="revisionLog116.xml"/><Relationship Id="rId343" Type="http://schemas.openxmlformats.org/officeDocument/2006/relationships/revisionLog" Target="revisionLog119.xml"/><Relationship Id="rId348" Type="http://schemas.openxmlformats.org/officeDocument/2006/relationships/revisionLog" Target="revisionLog113.xml"/><Relationship Id="rId364" Type="http://schemas.openxmlformats.org/officeDocument/2006/relationships/revisionLog" Target="revisionLog1431.xml"/><Relationship Id="rId377" Type="http://schemas.openxmlformats.org/officeDocument/2006/relationships/revisionLog" Target="revisionLog3.xml"/><Relationship Id="rId351" Type="http://schemas.openxmlformats.org/officeDocument/2006/relationships/revisionLog" Target="revisionLog1211.xml"/><Relationship Id="rId372" Type="http://schemas.openxmlformats.org/officeDocument/2006/relationships/revisionLog" Target="revisionLog14.xml"/><Relationship Id="rId347" Type="http://schemas.openxmlformats.org/officeDocument/2006/relationships/revisionLog" Target="revisionLog1131.xml"/><Relationship Id="rId339" Type="http://schemas.openxmlformats.org/officeDocument/2006/relationships/revisionLog" Target="revisionLog12311.xml"/><Relationship Id="rId326" Type="http://schemas.openxmlformats.org/officeDocument/2006/relationships/revisionLog" Target="revisionLog1172.xml"/><Relationship Id="rId318" Type="http://schemas.openxmlformats.org/officeDocument/2006/relationships/revisionLog" Target="revisionLog1161.xml"/><Relationship Id="rId313" Type="http://schemas.openxmlformats.org/officeDocument/2006/relationships/revisionLog" Target="revisionLog112211.xml"/><Relationship Id="rId371" Type="http://schemas.openxmlformats.org/officeDocument/2006/relationships/revisionLog" Target="revisionLog143.xml"/><Relationship Id="rId309" Type="http://schemas.openxmlformats.org/officeDocument/2006/relationships/revisionLog" Target="revisionLog11611.xml"/><Relationship Id="rId321" Type="http://schemas.openxmlformats.org/officeDocument/2006/relationships/revisionLog" Target="revisionLog1171.xml"/><Relationship Id="rId334" Type="http://schemas.openxmlformats.org/officeDocument/2006/relationships/revisionLog" Target="revisionLog1182.xml"/><Relationship Id="rId342" Type="http://schemas.openxmlformats.org/officeDocument/2006/relationships/revisionLog" Target="revisionLog1241.xml"/><Relationship Id="rId350" Type="http://schemas.openxmlformats.org/officeDocument/2006/relationships/revisionLog" Target="revisionLog1421.xml"/><Relationship Id="rId355" Type="http://schemas.openxmlformats.org/officeDocument/2006/relationships/revisionLog" Target="revisionLog1521.xml"/><Relationship Id="rId363" Type="http://schemas.openxmlformats.org/officeDocument/2006/relationships/revisionLog" Target="revisionLog1251.xml"/><Relationship Id="rId368" Type="http://schemas.openxmlformats.org/officeDocument/2006/relationships/revisionLog" Target="revisionLog126.xml"/><Relationship Id="rId376" Type="http://schemas.openxmlformats.org/officeDocument/2006/relationships/revisionLog" Target="revisionLog2.xml"/><Relationship Id="rId367" Type="http://schemas.openxmlformats.org/officeDocument/2006/relationships/revisionLog" Target="revisionLog110.xml"/><Relationship Id="rId359" Type="http://schemas.openxmlformats.org/officeDocument/2006/relationships/revisionLog" Target="revisionLog151.xml"/><Relationship Id="rId354" Type="http://schemas.openxmlformats.org/officeDocument/2006/relationships/revisionLog" Target="revisionLog141.xml"/><Relationship Id="rId312" Type="http://schemas.openxmlformats.org/officeDocument/2006/relationships/revisionLog" Target="revisionLog1122111.xml"/><Relationship Id="rId317" Type="http://schemas.openxmlformats.org/officeDocument/2006/relationships/revisionLog" Target="revisionLog11711.xml"/><Relationship Id="rId320" Type="http://schemas.openxmlformats.org/officeDocument/2006/relationships/revisionLog" Target="revisionLog1181.xml"/><Relationship Id="rId325" Type="http://schemas.openxmlformats.org/officeDocument/2006/relationships/revisionLog" Target="revisionLog1191.xml"/><Relationship Id="rId333" Type="http://schemas.openxmlformats.org/officeDocument/2006/relationships/revisionLog" Target="revisionLog120.xml"/><Relationship Id="rId338" Type="http://schemas.openxmlformats.org/officeDocument/2006/relationships/revisionLog" Target="revisionLog12111.xml"/><Relationship Id="rId346" Type="http://schemas.openxmlformats.org/officeDocument/2006/relationships/revisionLog" Target="revisionLog122.xml"/><Relationship Id="rId341" Type="http://schemas.openxmlformats.org/officeDocument/2006/relationships/revisionLog" Target="revisionLog1221.xml"/><Relationship Id="rId362" Type="http://schemas.openxmlformats.org/officeDocument/2006/relationships/revisionLog" Target="revisionLog1101.xml"/><Relationship Id="rId370" Type="http://schemas.openxmlformats.org/officeDocument/2006/relationships/revisionLog" Target="revisionLog123.xml"/><Relationship Id="rId375" Type="http://schemas.openxmlformats.org/officeDocument/2006/relationships/revisionLog" Target="revisionLog1.xml"/><Relationship Id="rId357" Type="http://schemas.openxmlformats.org/officeDocument/2006/relationships/revisionLog" Target="revisionLog152.xml"/><Relationship Id="rId349" Type="http://schemas.openxmlformats.org/officeDocument/2006/relationships/revisionLog" Target="revisionLog124.xml"/><Relationship Id="rId344" Type="http://schemas.openxmlformats.org/officeDocument/2006/relationships/revisionLog" Target="revisionLog1231.xml"/><Relationship Id="rId336" Type="http://schemas.openxmlformats.org/officeDocument/2006/relationships/revisionLog" Target="revisionLog12211.xml"/><Relationship Id="rId307" Type="http://schemas.openxmlformats.org/officeDocument/2006/relationships/revisionLog" Target="revisionLog1102.xml"/><Relationship Id="rId310" Type="http://schemas.openxmlformats.org/officeDocument/2006/relationships/revisionLog" Target="revisionLog11221111.xml"/><Relationship Id="rId315" Type="http://schemas.openxmlformats.org/officeDocument/2006/relationships/revisionLog" Target="revisionLog117111.xml"/><Relationship Id="rId323" Type="http://schemas.openxmlformats.org/officeDocument/2006/relationships/revisionLog" Target="revisionLog11911.xml"/><Relationship Id="rId328" Type="http://schemas.openxmlformats.org/officeDocument/2006/relationships/revisionLog" Target="revisionLog1201.xml"/><Relationship Id="rId331" Type="http://schemas.openxmlformats.org/officeDocument/2006/relationships/revisionLog" Target="revisionLog122111.xml"/><Relationship Id="rId352" Type="http://schemas.openxmlformats.org/officeDocument/2006/relationships/revisionLog" Target="revisionLog142.xml"/><Relationship Id="rId360" Type="http://schemas.openxmlformats.org/officeDocument/2006/relationships/revisionLog" Target="revisionLog11012.xml"/><Relationship Id="rId365" Type="http://schemas.openxmlformats.org/officeDocument/2006/relationships/revisionLog" Target="revisionLog125.xml"/><Relationship Id="rId373" Type="http://schemas.openxmlformats.org/officeDocument/2006/relationships/revisionLog" Target="revisionLog15.xml"/><Relationship Id="rId378" Type="http://schemas.openxmlformats.org/officeDocument/2006/relationships/revisionLog" Target="revisionLog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7CCA14B3-A490-4B92-8EB9-2355B37DA0F9}" diskRevisions="1" revisionId="19628" version="15" protected="1">
  <header guid="{4B8B4352-3658-4A10-803A-07D22F358D6A}" dateTime="2015-01-15T09:12:47" maxSheetId="9" userName="Мамедова Фарида" r:id="rId306" minRId="17899" maxRId="17911">
    <sheetIdMap count="8">
      <sheetId val="5"/>
      <sheetId val="2"/>
      <sheetId val="1"/>
      <sheetId val="3"/>
      <sheetId val="4"/>
      <sheetId val="6"/>
      <sheetId val="7"/>
      <sheetId val="8"/>
    </sheetIdMap>
  </header>
  <header guid="{D6DC86CE-C0F7-4C77-A979-2D014280D2FD}" dateTime="2015-01-15T09:20:07" maxSheetId="9" userName="Мамедова Фарида" r:id="rId307" minRId="17912" maxRId="17940">
    <sheetIdMap count="8">
      <sheetId val="5"/>
      <sheetId val="2"/>
      <sheetId val="1"/>
      <sheetId val="3"/>
      <sheetId val="4"/>
      <sheetId val="6"/>
      <sheetId val="7"/>
      <sheetId val="8"/>
    </sheetIdMap>
  </header>
  <header guid="{CDA69316-902C-4676-B817-5D1F5075BD16}" dateTime="2015-01-15T09:21:08" maxSheetId="9" userName="Мамедова Фарида" r:id="rId308" minRId="17947" maxRId="17954">
    <sheetIdMap count="8">
      <sheetId val="5"/>
      <sheetId val="2"/>
      <sheetId val="1"/>
      <sheetId val="3"/>
      <sheetId val="4"/>
      <sheetId val="6"/>
      <sheetId val="7"/>
      <sheetId val="8"/>
    </sheetIdMap>
  </header>
  <header guid="{0015EAA7-BF43-41C0-8094-FF6BA1E8FE69}" dateTime="2015-01-15T09:30:36" maxSheetId="9" userName="Мамедова Фарида" r:id="rId309" minRId="17961" maxRId="17982">
    <sheetIdMap count="8">
      <sheetId val="5"/>
      <sheetId val="2"/>
      <sheetId val="1"/>
      <sheetId val="3"/>
      <sheetId val="4"/>
      <sheetId val="6"/>
      <sheetId val="7"/>
      <sheetId val="8"/>
    </sheetIdMap>
  </header>
  <header guid="{0EF6E4D8-DC88-421F-995A-7A5BF1E29122}" dateTime="2015-01-15T09:32:57" maxSheetId="9" userName="Мамедова Фарида" r:id="rId310" minRId="17989" maxRId="18000">
    <sheetIdMap count="8">
      <sheetId val="5"/>
      <sheetId val="2"/>
      <sheetId val="1"/>
      <sheetId val="3"/>
      <sheetId val="4"/>
      <sheetId val="6"/>
      <sheetId val="7"/>
      <sheetId val="8"/>
    </sheetIdMap>
  </header>
  <header guid="{E61D21B5-D4BA-42FC-ABEA-1F248ACB2892}" dateTime="2015-01-15T09:35:38" maxSheetId="9" userName="Мамедова Фарида" r:id="rId311" minRId="18007" maxRId="18010">
    <sheetIdMap count="8">
      <sheetId val="5"/>
      <sheetId val="2"/>
      <sheetId val="1"/>
      <sheetId val="3"/>
      <sheetId val="4"/>
      <sheetId val="6"/>
      <sheetId val="7"/>
      <sheetId val="8"/>
    </sheetIdMap>
  </header>
  <header guid="{D7BA41EB-5457-42A1-97BB-E126B3B9F416}" dateTime="2015-01-15T09:35:38" maxSheetId="9" userName="Мамедова Фарида" r:id="rId312">
    <sheetIdMap count="8">
      <sheetId val="5"/>
      <sheetId val="2"/>
      <sheetId val="1"/>
      <sheetId val="3"/>
      <sheetId val="4"/>
      <sheetId val="6"/>
      <sheetId val="7"/>
      <sheetId val="8"/>
    </sheetIdMap>
  </header>
  <header guid="{0992C7FB-9047-4B07-A89E-EE2796AEBA48}" dateTime="2015-01-15T09:38:41" maxSheetId="9" userName="Мамедова Фарида" r:id="rId313" minRId="18023" maxRId="18029">
    <sheetIdMap count="8">
      <sheetId val="5"/>
      <sheetId val="2"/>
      <sheetId val="1"/>
      <sheetId val="3"/>
      <sheetId val="4"/>
      <sheetId val="6"/>
      <sheetId val="7"/>
      <sheetId val="8"/>
    </sheetIdMap>
  </header>
  <header guid="{4DC82FD9-9666-4226-B8F9-5A6BCFD19C1C}" dateTime="2015-01-15T09:41:32" maxSheetId="9" userName="Мамедова Фарида" r:id="rId314">
    <sheetIdMap count="8">
      <sheetId val="5"/>
      <sheetId val="2"/>
      <sheetId val="1"/>
      <sheetId val="3"/>
      <sheetId val="4"/>
      <sheetId val="6"/>
      <sheetId val="7"/>
      <sheetId val="8"/>
    </sheetIdMap>
  </header>
  <header guid="{70F56AA4-AEB8-429E-8FAB-62F3C3D2FCF4}" dateTime="2015-01-15T09:45:13" maxSheetId="9" userName="Мамедова Фарида" r:id="rId315" minRId="18042" maxRId="18049">
    <sheetIdMap count="8">
      <sheetId val="5"/>
      <sheetId val="2"/>
      <sheetId val="1"/>
      <sheetId val="3"/>
      <sheetId val="4"/>
      <sheetId val="6"/>
      <sheetId val="7"/>
      <sheetId val="8"/>
    </sheetIdMap>
  </header>
  <header guid="{9A58B026-1FB3-4CB9-8CB8-D5C2D463539A}" dateTime="2015-01-15T09:47:24" maxSheetId="9" userName="Мамедова Фарида" r:id="rId316" minRId="18056" maxRId="18067">
    <sheetIdMap count="8">
      <sheetId val="5"/>
      <sheetId val="2"/>
      <sheetId val="1"/>
      <sheetId val="3"/>
      <sheetId val="4"/>
      <sheetId val="6"/>
      <sheetId val="7"/>
      <sheetId val="8"/>
    </sheetIdMap>
  </header>
  <header guid="{5E173D77-8FFB-45E7-89A3-78A532A36CFD}" dateTime="2015-01-15T09:48:40" maxSheetId="9" userName="Мамедова Фарида" r:id="rId317" minRId="18074" maxRId="18081">
    <sheetIdMap count="8">
      <sheetId val="5"/>
      <sheetId val="2"/>
      <sheetId val="1"/>
      <sheetId val="3"/>
      <sheetId val="4"/>
      <sheetId val="6"/>
      <sheetId val="7"/>
      <sheetId val="8"/>
    </sheetIdMap>
  </header>
  <header guid="{0F8ED1D8-FEB5-48BD-B477-34B0A40B26FF}" dateTime="2015-01-15T09:49:52" maxSheetId="9" userName="Мамедова Фарида" r:id="rId318" minRId="18088" maxRId="18097">
    <sheetIdMap count="8">
      <sheetId val="5"/>
      <sheetId val="2"/>
      <sheetId val="1"/>
      <sheetId val="3"/>
      <sheetId val="4"/>
      <sheetId val="6"/>
      <sheetId val="7"/>
      <sheetId val="8"/>
    </sheetIdMap>
  </header>
  <header guid="{925E18A0-27E4-4E0D-8A9D-C2E58B6C9E56}" dateTime="2015-01-15T09:50:12" maxSheetId="9" userName="Мамедова Фарида" r:id="rId319" minRId="18104" maxRId="18105">
    <sheetIdMap count="8">
      <sheetId val="5"/>
      <sheetId val="2"/>
      <sheetId val="1"/>
      <sheetId val="3"/>
      <sheetId val="4"/>
      <sheetId val="6"/>
      <sheetId val="7"/>
      <sheetId val="8"/>
    </sheetIdMap>
  </header>
  <header guid="{20B27576-56C7-4B02-9E92-7CEF5B6D9EB1}" dateTime="2015-01-15T09:50:48" maxSheetId="9" userName="Мамедова Фарида" r:id="rId320" minRId="18112" maxRId="18115">
    <sheetIdMap count="8">
      <sheetId val="5"/>
      <sheetId val="2"/>
      <sheetId val="1"/>
      <sheetId val="3"/>
      <sheetId val="4"/>
      <sheetId val="6"/>
      <sheetId val="7"/>
      <sheetId val="8"/>
    </sheetIdMap>
  </header>
  <header guid="{7B194DAA-6D65-48AC-B36C-E532523D1987}" dateTime="2015-01-15T09:52:14" maxSheetId="9" userName="Мамедова Фарида" r:id="rId321" minRId="18122" maxRId="18125">
    <sheetIdMap count="8">
      <sheetId val="5"/>
      <sheetId val="2"/>
      <sheetId val="1"/>
      <sheetId val="3"/>
      <sheetId val="4"/>
      <sheetId val="6"/>
      <sheetId val="7"/>
      <sheetId val="8"/>
    </sheetIdMap>
  </header>
  <header guid="{1B8DB03C-F9B4-4C76-88E4-FA73C2FD27F8}" dateTime="2015-01-15T09:52:15" maxSheetId="9" userName="Мамедова Фарида" r:id="rId322">
    <sheetIdMap count="8">
      <sheetId val="5"/>
      <sheetId val="2"/>
      <sheetId val="1"/>
      <sheetId val="3"/>
      <sheetId val="4"/>
      <sheetId val="6"/>
      <sheetId val="7"/>
      <sheetId val="8"/>
    </sheetIdMap>
  </header>
  <header guid="{19DC5A9E-62DB-47F5-A767-49FC0DF49AB5}" dateTime="2015-01-15T09:53:13" maxSheetId="9" userName="Мамедова Фарида" r:id="rId323" minRId="18138" maxRId="18145">
    <sheetIdMap count="8">
      <sheetId val="5"/>
      <sheetId val="2"/>
      <sheetId val="1"/>
      <sheetId val="3"/>
      <sheetId val="4"/>
      <sheetId val="6"/>
      <sheetId val="7"/>
      <sheetId val="8"/>
    </sheetIdMap>
  </header>
  <header guid="{47764891-B7ED-4BE0-82CF-EE6B90CE65CF}" dateTime="2015-01-15T09:53:34" maxSheetId="9" userName="Мамедова Фарида" r:id="rId324" minRId="18152">
    <sheetIdMap count="8">
      <sheetId val="5"/>
      <sheetId val="2"/>
      <sheetId val="1"/>
      <sheetId val="3"/>
      <sheetId val="4"/>
      <sheetId val="6"/>
      <sheetId val="7"/>
      <sheetId val="8"/>
    </sheetIdMap>
  </header>
  <header guid="{94A08E42-CB19-44D7-8659-D2D01F6428E8}" dateTime="2015-01-15T10:04:14" maxSheetId="9" userName="Мамедова Фарида" r:id="rId325" minRId="18159" maxRId="18170">
    <sheetIdMap count="8">
      <sheetId val="5"/>
      <sheetId val="2"/>
      <sheetId val="1"/>
      <sheetId val="3"/>
      <sheetId val="4"/>
      <sheetId val="6"/>
      <sheetId val="7"/>
      <sheetId val="8"/>
    </sheetIdMap>
  </header>
  <header guid="{F795F5AA-9E93-476C-846B-0911AB55F4F3}" dateTime="2015-01-15T10:05:30" maxSheetId="9" userName="Мамедова Фарида" r:id="rId326" minRId="18177" maxRId="18180">
    <sheetIdMap count="8">
      <sheetId val="5"/>
      <sheetId val="2"/>
      <sheetId val="1"/>
      <sheetId val="3"/>
      <sheetId val="4"/>
      <sheetId val="6"/>
      <sheetId val="7"/>
      <sheetId val="8"/>
    </sheetIdMap>
  </header>
  <header guid="{89C1A6C5-5045-42E2-94D4-0D31779C99B2}" dateTime="2015-01-15T10:06:14" maxSheetId="9" userName="Мамедова Фарида" r:id="rId327" minRId="18187" maxRId="18194">
    <sheetIdMap count="8">
      <sheetId val="5"/>
      <sheetId val="2"/>
      <sheetId val="1"/>
      <sheetId val="3"/>
      <sheetId val="4"/>
      <sheetId val="6"/>
      <sheetId val="7"/>
      <sheetId val="8"/>
    </sheetIdMap>
  </header>
  <header guid="{B502120E-DEC5-465A-8644-2C6DA87574CE}" dateTime="2015-01-15T10:06:32" maxSheetId="9" userName="Мамедова Фарида" r:id="rId328" minRId="18201" maxRId="18204">
    <sheetIdMap count="8">
      <sheetId val="5"/>
      <sheetId val="2"/>
      <sheetId val="1"/>
      <sheetId val="3"/>
      <sheetId val="4"/>
      <sheetId val="6"/>
      <sheetId val="7"/>
      <sheetId val="8"/>
    </sheetIdMap>
  </header>
  <header guid="{8FBEF87E-1E65-4E51-85C6-E4B39802655C}" dateTime="2015-01-15T10:07:42" maxSheetId="9" userName="Мамедова Фарида" r:id="rId329" minRId="18211" maxRId="18218">
    <sheetIdMap count="8">
      <sheetId val="5"/>
      <sheetId val="2"/>
      <sheetId val="1"/>
      <sheetId val="3"/>
      <sheetId val="4"/>
      <sheetId val="6"/>
      <sheetId val="7"/>
      <sheetId val="8"/>
    </sheetIdMap>
  </header>
  <header guid="{9B4993D0-4114-40F6-8E03-7419AE157FC9}" dateTime="2015-01-15T10:08:55" maxSheetId="9" userName="Мамедова Фарида" r:id="rId330" minRId="18225" maxRId="18229">
    <sheetIdMap count="8">
      <sheetId val="5"/>
      <sheetId val="2"/>
      <sheetId val="1"/>
      <sheetId val="3"/>
      <sheetId val="4"/>
      <sheetId val="6"/>
      <sheetId val="7"/>
      <sheetId val="8"/>
    </sheetIdMap>
  </header>
  <header guid="{5E7AE099-D2D0-48E9-87EB-9EB79FE6AC2E}" dateTime="2015-01-15T10:11:46" maxSheetId="9" userName="Мамедова Фарида" r:id="rId331" minRId="18236" maxRId="18247">
    <sheetIdMap count="8">
      <sheetId val="5"/>
      <sheetId val="2"/>
      <sheetId val="1"/>
      <sheetId val="3"/>
      <sheetId val="4"/>
      <sheetId val="6"/>
      <sheetId val="7"/>
      <sheetId val="8"/>
    </sheetIdMap>
  </header>
  <header guid="{AAA50594-422A-4651-AA8E-1F285A2869D2}" dateTime="2015-01-15T10:12:54" maxSheetId="9" userName="Мамедова Фарида" r:id="rId332" minRId="18254" maxRId="18259">
    <sheetIdMap count="8">
      <sheetId val="5"/>
      <sheetId val="2"/>
      <sheetId val="1"/>
      <sheetId val="3"/>
      <sheetId val="4"/>
      <sheetId val="6"/>
      <sheetId val="7"/>
      <sheetId val="8"/>
    </sheetIdMap>
  </header>
  <header guid="{23090104-CC2C-4731-BF95-2CB8D424B37A}" dateTime="2015-01-15T10:15:40" maxSheetId="9" userName="Мамедова Фарида" r:id="rId333" minRId="18266" maxRId="18285">
    <sheetIdMap count="8">
      <sheetId val="5"/>
      <sheetId val="2"/>
      <sheetId val="1"/>
      <sheetId val="3"/>
      <sheetId val="4"/>
      <sheetId val="6"/>
      <sheetId val="7"/>
      <sheetId val="8"/>
    </sheetIdMap>
  </header>
  <header guid="{0FD368F6-C9DC-437D-B64C-CC62B1C57D34}" dateTime="2015-01-15T10:23:21" maxSheetId="9" userName="Мамедова Фарида" r:id="rId334" minRId="18292" maxRId="18321">
    <sheetIdMap count="8">
      <sheetId val="5"/>
      <sheetId val="2"/>
      <sheetId val="1"/>
      <sheetId val="3"/>
      <sheetId val="4"/>
      <sheetId val="6"/>
      <sheetId val="7"/>
      <sheetId val="8"/>
    </sheetIdMap>
  </header>
  <header guid="{D6183BC5-10B2-4E19-8C5C-E791416738B7}" dateTime="2015-01-15T10:25:46" maxSheetId="9" userName="Мамедова Фарида" r:id="rId335" minRId="18328" maxRId="18343">
    <sheetIdMap count="8">
      <sheetId val="5"/>
      <sheetId val="2"/>
      <sheetId val="1"/>
      <sheetId val="3"/>
      <sheetId val="4"/>
      <sheetId val="6"/>
      <sheetId val="7"/>
      <sheetId val="8"/>
    </sheetIdMap>
  </header>
  <header guid="{A7512D5F-FCE8-4FD6-BAF1-F2A5E035CC9D}" dateTime="2015-01-16T14:29:08" maxSheetId="9" userName="Мамедова Фарида" r:id="rId336" minRId="18350" maxRId="18360">
    <sheetIdMap count="8">
      <sheetId val="5"/>
      <sheetId val="2"/>
      <sheetId val="1"/>
      <sheetId val="3"/>
      <sheetId val="4"/>
      <sheetId val="6"/>
      <sheetId val="7"/>
      <sheetId val="8"/>
    </sheetIdMap>
  </header>
  <header guid="{8FD97238-8F30-4129-A530-3B453C484154}" dateTime="2015-01-16T14:30:53" maxSheetId="9" userName="Мамедова Фарида" r:id="rId337" minRId="18367" maxRId="18370">
    <sheetIdMap count="8">
      <sheetId val="5"/>
      <sheetId val="2"/>
      <sheetId val="1"/>
      <sheetId val="3"/>
      <sheetId val="4"/>
      <sheetId val="6"/>
      <sheetId val="7"/>
      <sheetId val="8"/>
    </sheetIdMap>
  </header>
  <header guid="{C27E1E02-3028-4C40-8FC0-7FEC95BE49C7}" dateTime="2015-01-16T14:32:06" maxSheetId="9" userName="Мамедова Фарида" r:id="rId338" minRId="18377" maxRId="18382">
    <sheetIdMap count="8">
      <sheetId val="5"/>
      <sheetId val="2"/>
      <sheetId val="1"/>
      <sheetId val="3"/>
      <sheetId val="4"/>
      <sheetId val="6"/>
      <sheetId val="7"/>
      <sheetId val="8"/>
    </sheetIdMap>
  </header>
  <header guid="{9A8D9F99-4CF1-42D2-9D5F-848E03ADD31C}" dateTime="2015-01-16T14:33:04" maxSheetId="9" userName="Мамедова Фарида" r:id="rId339" minRId="18389" maxRId="18394">
    <sheetIdMap count="8">
      <sheetId val="5"/>
      <sheetId val="2"/>
      <sheetId val="1"/>
      <sheetId val="3"/>
      <sheetId val="4"/>
      <sheetId val="6"/>
      <sheetId val="7"/>
      <sheetId val="8"/>
    </sheetIdMap>
  </header>
  <header guid="{7B1E274C-89F1-4BF8-A419-3859BA079A42}" dateTime="2015-01-16T14:34:33" maxSheetId="9" userName="Мамедова Фарида" r:id="rId340" minRId="18401" maxRId="18404">
    <sheetIdMap count="8">
      <sheetId val="5"/>
      <sheetId val="2"/>
      <sheetId val="1"/>
      <sheetId val="3"/>
      <sheetId val="4"/>
      <sheetId val="6"/>
      <sheetId val="7"/>
      <sheetId val="8"/>
    </sheetIdMap>
  </header>
  <header guid="{D0A64EC2-3B6C-4A8C-AB6F-4966768D2239}" dateTime="2015-01-16T14:39:09" maxSheetId="9" userName="Мамедова Фарида" r:id="rId341" minRId="18411" maxRId="18432">
    <sheetIdMap count="8">
      <sheetId val="5"/>
      <sheetId val="2"/>
      <sheetId val="1"/>
      <sheetId val="3"/>
      <sheetId val="4"/>
      <sheetId val="6"/>
      <sheetId val="7"/>
      <sheetId val="8"/>
    </sheetIdMap>
  </header>
  <header guid="{31F26B51-2A27-408C-AB46-D4E2FB7DE376}" dateTime="2015-01-16T14:40:17" maxSheetId="9" userName="Мамедова Фарида" r:id="rId342" minRId="18439" maxRId="18442">
    <sheetIdMap count="8">
      <sheetId val="5"/>
      <sheetId val="2"/>
      <sheetId val="1"/>
      <sheetId val="3"/>
      <sheetId val="4"/>
      <sheetId val="6"/>
      <sheetId val="7"/>
      <sheetId val="8"/>
    </sheetIdMap>
  </header>
  <header guid="{577F09C7-B1F1-4F47-9744-32CD2EDF2AAB}" dateTime="2015-01-16T14:40:49" maxSheetId="9" userName="Мамедова Фарида" r:id="rId343" minRId="18449" maxRId="18452">
    <sheetIdMap count="8">
      <sheetId val="5"/>
      <sheetId val="2"/>
      <sheetId val="1"/>
      <sheetId val="3"/>
      <sheetId val="4"/>
      <sheetId val="6"/>
      <sheetId val="7"/>
      <sheetId val="8"/>
    </sheetIdMap>
  </header>
  <header guid="{DDD20AB8-6F6F-415D-BB4E-36834D78C491}" dateTime="2015-01-16T14:41:43" maxSheetId="9" userName="Мамедова Фарида" r:id="rId344" minRId="18459" maxRId="18460">
    <sheetIdMap count="8">
      <sheetId val="5"/>
      <sheetId val="2"/>
      <sheetId val="1"/>
      <sheetId val="3"/>
      <sheetId val="4"/>
      <sheetId val="6"/>
      <sheetId val="7"/>
      <sheetId val="8"/>
    </sheetIdMap>
  </header>
  <header guid="{BD084B33-BFF0-4BC4-A1AD-47D057945D6F}" dateTime="2015-01-16T14:41:53" maxSheetId="9" userName="Мамедова Фарида" r:id="rId345" minRId="18467">
    <sheetIdMap count="8">
      <sheetId val="5"/>
      <sheetId val="2"/>
      <sheetId val="1"/>
      <sheetId val="3"/>
      <sheetId val="4"/>
      <sheetId val="6"/>
      <sheetId val="7"/>
      <sheetId val="8"/>
    </sheetIdMap>
  </header>
  <header guid="{A13131D2-ABF6-49C5-9189-3EF29F74B0AA}" dateTime="2015-01-16T14:45:03" maxSheetId="9" userName="Мамедова Фарида" r:id="rId346" minRId="18474" maxRId="18483">
    <sheetIdMap count="8">
      <sheetId val="5"/>
      <sheetId val="2"/>
      <sheetId val="1"/>
      <sheetId val="3"/>
      <sheetId val="4"/>
      <sheetId val="6"/>
      <sheetId val="7"/>
      <sheetId val="8"/>
    </sheetIdMap>
  </header>
  <header guid="{93DA30EF-8814-4943-A4A4-4C3B7C536CDC}" dateTime="2015-01-16T14:47:22" maxSheetId="9" userName="Мамедова Фарида" r:id="rId347" minRId="18490" maxRId="18495">
    <sheetIdMap count="8">
      <sheetId val="5"/>
      <sheetId val="2"/>
      <sheetId val="1"/>
      <sheetId val="3"/>
      <sheetId val="4"/>
      <sheetId val="6"/>
      <sheetId val="7"/>
      <sheetId val="8"/>
    </sheetIdMap>
  </header>
  <header guid="{F40B2BF5-3691-4FF5-87A8-D1A01EC889D6}" dateTime="2015-01-16T14:48:59" maxSheetId="9" userName="Мамедова Фарида" r:id="rId348" minRId="18502" maxRId="18511">
    <sheetIdMap count="8">
      <sheetId val="5"/>
      <sheetId val="2"/>
      <sheetId val="1"/>
      <sheetId val="3"/>
      <sheetId val="4"/>
      <sheetId val="6"/>
      <sheetId val="7"/>
      <sheetId val="8"/>
    </sheetIdMap>
  </header>
  <header guid="{94441FEE-3F11-4A68-8A30-55478FDAB16C}" dateTime="2015-01-16T14:49:30" maxSheetId="9" userName="Мамедова Фарида" r:id="rId349" minRId="18518" maxRId="18521">
    <sheetIdMap count="8">
      <sheetId val="5"/>
      <sheetId val="2"/>
      <sheetId val="1"/>
      <sheetId val="3"/>
      <sheetId val="4"/>
      <sheetId val="6"/>
      <sheetId val="7"/>
      <sheetId val="8"/>
    </sheetIdMap>
  </header>
  <header guid="{2AB974AE-889B-4F47-88D6-782955E16A11}" dateTime="2015-01-16T14:51:03" maxSheetId="9" userName="Мамедова Фарида" r:id="rId350" minRId="18528" maxRId="18533">
    <sheetIdMap count="8">
      <sheetId val="5"/>
      <sheetId val="2"/>
      <sheetId val="1"/>
      <sheetId val="3"/>
      <sheetId val="4"/>
      <sheetId val="6"/>
      <sheetId val="7"/>
      <sheetId val="8"/>
    </sheetIdMap>
  </header>
  <header guid="{7A7380AB-2BCD-4EB2-BD03-E74C8803C60E}" dateTime="2015-01-16T14:51:33" maxSheetId="9" userName="Мамедова Фарида" r:id="rId351" minRId="18540" maxRId="18541">
    <sheetIdMap count="8">
      <sheetId val="5"/>
      <sheetId val="2"/>
      <sheetId val="1"/>
      <sheetId val="3"/>
      <sheetId val="4"/>
      <sheetId val="6"/>
      <sheetId val="7"/>
      <sheetId val="8"/>
    </sheetIdMap>
  </header>
  <header guid="{DD46FBD7-5A86-4778-BE48-AC4A58DA8B01}" dateTime="2015-01-16T14:53:03" maxSheetId="9" userName="Мамедова Фарида" r:id="rId352" minRId="18548" maxRId="18551">
    <sheetIdMap count="8">
      <sheetId val="5"/>
      <sheetId val="2"/>
      <sheetId val="1"/>
      <sheetId val="3"/>
      <sheetId val="4"/>
      <sheetId val="6"/>
      <sheetId val="7"/>
      <sheetId val="8"/>
    </sheetIdMap>
  </header>
  <header guid="{3F6AB0D5-6324-4A29-B2E7-F43C7149D908}" dateTime="2015-01-16T14:54:46" maxSheetId="9" userName="Мамедова Фарида" r:id="rId353" minRId="18558" maxRId="18563">
    <sheetIdMap count="8">
      <sheetId val="5"/>
      <sheetId val="2"/>
      <sheetId val="1"/>
      <sheetId val="3"/>
      <sheetId val="4"/>
      <sheetId val="6"/>
      <sheetId val="7"/>
      <sheetId val="8"/>
    </sheetIdMap>
  </header>
  <header guid="{D133769D-4EB7-4E10-820A-9F24894266AD}" dateTime="2015-01-16T14:55:16" maxSheetId="9" userName="Мамедова Фарида" r:id="rId354" minRId="18570" maxRId="18571">
    <sheetIdMap count="8">
      <sheetId val="5"/>
      <sheetId val="2"/>
      <sheetId val="1"/>
      <sheetId val="3"/>
      <sheetId val="4"/>
      <sheetId val="6"/>
      <sheetId val="7"/>
      <sheetId val="8"/>
    </sheetIdMap>
  </header>
  <header guid="{65A4CE2F-E222-4739-A8A4-4A5C0F4B2559}" dateTime="2015-01-16T14:56:00" maxSheetId="9" userName="Мамедова Фарида" r:id="rId355" minRId="18578" maxRId="18581">
    <sheetIdMap count="8">
      <sheetId val="5"/>
      <sheetId val="2"/>
      <sheetId val="1"/>
      <sheetId val="3"/>
      <sheetId val="4"/>
      <sheetId val="6"/>
      <sheetId val="7"/>
      <sheetId val="8"/>
    </sheetIdMap>
  </header>
  <header guid="{548E3191-0032-433E-947F-692446BD1575}" dateTime="2015-01-16T14:58:01" maxSheetId="9" userName="Мамедова Фарида" r:id="rId356" minRId="18588" maxRId="18597">
    <sheetIdMap count="8">
      <sheetId val="5"/>
      <sheetId val="2"/>
      <sheetId val="1"/>
      <sheetId val="3"/>
      <sheetId val="4"/>
      <sheetId val="6"/>
      <sheetId val="7"/>
      <sheetId val="8"/>
    </sheetIdMap>
  </header>
  <header guid="{EDB38BB6-10D7-44C9-9B2D-CF99D5B9308D}" dateTime="2015-01-16T15:00:28" maxSheetId="9" userName="Мамедова Фарида" r:id="rId357" minRId="18604" maxRId="18611">
    <sheetIdMap count="8">
      <sheetId val="5"/>
      <sheetId val="2"/>
      <sheetId val="1"/>
      <sheetId val="3"/>
      <sheetId val="4"/>
      <sheetId val="6"/>
      <sheetId val="7"/>
      <sheetId val="8"/>
    </sheetIdMap>
  </header>
  <header guid="{F2EF9F3A-93CF-489D-9CDE-E4A841F55A95}" dateTime="2015-01-19T15:48:49" maxSheetId="9" userName="Мамедова Фарида" r:id="rId358" minRId="18618" maxRId="18643">
    <sheetIdMap count="8">
      <sheetId val="5"/>
      <sheetId val="2"/>
      <sheetId val="1"/>
      <sheetId val="3"/>
      <sheetId val="4"/>
      <sheetId val="6"/>
      <sheetId val="7"/>
      <sheetId val="8"/>
    </sheetIdMap>
  </header>
  <header guid="{CDE2F2D7-3F88-47DE-A65C-867A1AC8E2D1}" dateTime="2015-01-19T16:48:52" maxSheetId="9" userName="Мамедова Фарида" r:id="rId359" minRId="18650" maxRId="18672">
    <sheetIdMap count="8">
      <sheetId val="5"/>
      <sheetId val="2"/>
      <sheetId val="1"/>
      <sheetId val="3"/>
      <sheetId val="4"/>
      <sheetId val="6"/>
      <sheetId val="7"/>
      <sheetId val="8"/>
    </sheetIdMap>
  </header>
  <header guid="{4F7904D4-05DC-44CD-A16E-CB50585FBF7F}" dateTime="2015-01-19T16:51:26" maxSheetId="9" userName="Мамедова Фарида" r:id="rId360" minRId="18679" maxRId="18686">
    <sheetIdMap count="8">
      <sheetId val="5"/>
      <sheetId val="2"/>
      <sheetId val="1"/>
      <sheetId val="3"/>
      <sheetId val="4"/>
      <sheetId val="6"/>
      <sheetId val="7"/>
      <sheetId val="8"/>
    </sheetIdMap>
  </header>
  <header guid="{4416BF65-7B3B-4E58-AE46-9576E7F11FE0}" dateTime="2015-01-19T16:52:14" maxSheetId="9" userName="Мамедова Фарида" r:id="rId361" minRId="18693" maxRId="18695">
    <sheetIdMap count="8">
      <sheetId val="5"/>
      <sheetId val="2"/>
      <sheetId val="1"/>
      <sheetId val="3"/>
      <sheetId val="4"/>
      <sheetId val="6"/>
      <sheetId val="7"/>
      <sheetId val="8"/>
    </sheetIdMap>
  </header>
  <header guid="{2C7A8C94-EEAD-4A33-B18A-A2F42218F7BA}" dateTime="2015-01-19T16:54:08" maxSheetId="9" userName="Мамедова Фарида" r:id="rId362" minRId="18702" maxRId="18704">
    <sheetIdMap count="8">
      <sheetId val="5"/>
      <sheetId val="2"/>
      <sheetId val="1"/>
      <sheetId val="3"/>
      <sheetId val="4"/>
      <sheetId val="6"/>
      <sheetId val="7"/>
      <sheetId val="8"/>
    </sheetIdMap>
  </header>
  <header guid="{154325B8-A32B-46A5-9B79-356414A405DF}" dateTime="2015-01-19T16:57:02" maxSheetId="9" userName="Мамедова Фарида" r:id="rId363" minRId="18711" maxRId="18717">
    <sheetIdMap count="8">
      <sheetId val="5"/>
      <sheetId val="2"/>
      <sheetId val="1"/>
      <sheetId val="3"/>
      <sheetId val="4"/>
      <sheetId val="6"/>
      <sheetId val="7"/>
      <sheetId val="8"/>
    </sheetIdMap>
  </header>
  <header guid="{57A9CD62-5A25-4A36-BCB4-C58F30BC097D}" dateTime="2015-01-21T10:26:32" maxSheetId="10" userName="Мамедова Фарида" r:id="rId364" minRId="18724" maxRId="1886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0C470679-AC83-4515-9689-63E66B0AACE6}" dateTime="2015-01-21T10:30:19" maxSheetId="10" userName="Мамедова Фарида" r:id="rId365" minRId="18872" maxRId="18873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B21590E4-F470-4F60-B74A-11B037940F37}" dateTime="2015-01-21T10:34:40" maxSheetId="10" userName="Мамедова Фарида" r:id="rId366" minRId="18880" maxRId="18890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A157FB54-92EE-4CBC-BBEE-A9D27B4E97AF}" dateTime="2015-01-21T10:36:16" maxSheetId="10" userName="Мамедова Фарида" r:id="rId367" minRId="18897" maxRId="18902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7C7973A2-F5FE-4CD2-B81F-0E3D92C18BAA}" dateTime="2015-01-21T10:36:16" maxSheetId="10" userName="Мамедова Фарида" r:id="rId368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296C60DC-11A6-4B2B-8AF7-FA0CF424C50F}" dateTime="2015-01-21T10:36:58" maxSheetId="10" userName="Мамедова Фарида" r:id="rId369" minRId="18915" maxRId="1891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34801B0A-0838-44F3-B77A-98DF62140BC8}" dateTime="2015-01-21T11:09:46" maxSheetId="10" userName="Мамедова Фарида" r:id="rId370" minRId="18923" maxRId="18972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4AE3C2D5-D1CD-498C-8B4D-A9A2AE82BA71}" dateTime="2015-01-21T11:33:07" maxSheetId="10" userName="Мамедова Фарида" r:id="rId371" minRId="18979" maxRId="19156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4FA2C7C2-CAE1-4A0A-8DE2-985C7361F55C}" dateTime="2015-01-21T11:46:34" maxSheetId="10" userName="Мамедова Фарида" r:id="rId372" minRId="19163" maxRId="1923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EA185206-BDF6-435B-BAB7-81B18008ED06}" dateTime="2015-01-21T12:10:10" maxSheetId="10" userName="Мамедова Фарида" r:id="rId373" minRId="19238" maxRId="1955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5D3D85ED-B6E0-41D5-AF91-C34296E4C734}" dateTime="2015-01-21T12:10:10" maxSheetId="10" userName="Мамедова Фарида" r:id="rId374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A168C4B-07ED-409D-8F3A-16B2E6FBC0C2}" dateTime="2015-01-21T12:11:51" maxSheetId="10" userName="Мамедова Фарида" r:id="rId375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9E7EFC19-1C06-445E-B802-DC50FE8B4D14}" dateTime="2015-01-21T16:13:50" maxSheetId="10" userName="Данченко Игорь Васильевич" r:id="rId376" minRId="19574" maxRId="19611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1C835F48-B879-40E8-8ABD-62F73C3E02DE}" dateTime="2015-01-21T16:14:05" maxSheetId="10" userName="Данченко Игорь Васильевич" r:id="rId377" minRId="19618" maxRId="19622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  <header guid="{7CCA14B3-A490-4B92-8EB9-2355B37DA0F9}" dateTime="2015-01-21T16:14:32" maxSheetId="10" userName="Данченко Игорь Васильевич" r:id="rId378">
    <sheetIdMap count="9">
      <sheetId val="5"/>
      <sheetId val="2"/>
      <sheetId val="1"/>
      <sheetId val="3"/>
      <sheetId val="4"/>
      <sheetId val="6"/>
      <sheetId val="7"/>
      <sheetId val="8"/>
      <sheetId val="9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9574" sId="4" ref="A244:XFD244" action="deleteRow">
    <rfmt sheetId="4" xfDxf="1" sqref="A244:XFD244" start="0" length="0"/>
  </rrc>
  <rrc rId="19575" sId="4" ref="A244:XFD244" action="deleteRow">
    <undo index="0" exp="ref" v="1" dr="K244" r="K245" sId="4"/>
    <undo index="0" exp="ref" v="1" dr="J244" r="J245" sId="4"/>
    <rfmt sheetId="4" xfDxf="1" sqref="A244:XFD244" start="0" length="0"/>
    <rfmt sheetId="4" sqref="G244" start="0" length="0">
      <dxf>
        <numFmt numFmtId="4" formatCode="#,##0.00"/>
      </dxf>
    </rfmt>
    <rcc rId="0" sId="4">
      <nc r="J244">
        <v>2337</v>
      </nc>
    </rcc>
    <rcc rId="0" sId="4">
      <nc r="K244">
        <v>16828.7</v>
      </nc>
    </rcc>
  </rrc>
  <rrc rId="19576" sId="4" ref="A244:XFD244" action="deleteRow">
    <rfmt sheetId="4" xfDxf="1" sqref="A244:XFD244" start="0" length="0"/>
    <rcc rId="0" sId="4">
      <nc r="B244" t="inlineStr">
        <is>
          <t>* отчет не учитывает заявки потребителей максимальной присоединенной мощностью более 670 кВт</t>
        </is>
      </nc>
    </rcc>
    <rcc rId="0" sId="4" dxf="1">
      <nc r="J244">
        <f>#REF!-J243</f>
      </nc>
      <ndxf>
        <numFmt numFmtId="164" formatCode="#,##0.00_р_."/>
      </ndxf>
    </rcc>
    <rcc rId="0" sId="4" dxf="1">
      <nc r="K244">
        <f>#REF!-K243</f>
      </nc>
      <ndxf>
        <numFmt numFmtId="164" formatCode="#,##0.00_р_."/>
      </ndxf>
    </rcc>
  </rrc>
  <rrc rId="19577" sId="4" ref="A244:XFD244" action="deleteRow">
    <rfmt sheetId="4" xfDxf="1" sqref="A244:XFD244" start="0" length="0"/>
    <rcc rId="0" sId="4">
      <nc r="I244" t="inlineStr">
        <is>
          <t>Расторгнутые договора</t>
        </is>
      </nc>
    </rcc>
  </rrc>
  <rrc rId="19578" sId="4" ref="A244:XFD244" action="deleteRow">
    <rfmt sheetId="4" xfDxf="1" sqref="A244:XFD244" start="0" length="0"/>
    <rcc rId="0" sId="4" dxf="1">
      <nc r="D244">
        <f>D245-D243</f>
      </nc>
      <ndxf>
        <numFmt numFmtId="3" formatCode="#,##0"/>
      </ndxf>
    </rcc>
    <rcc rId="0" sId="4" dxf="1">
      <nc r="E244">
        <f>E245-E243</f>
      </nc>
      <ndxf>
        <numFmt numFmtId="4" formatCode="#,##0.00"/>
      </ndxf>
    </rcc>
    <rfmt sheetId="4" sqref="F244" start="0" length="0">
      <dxf/>
    </rfmt>
    <rfmt sheetId="4" s="1" sqref="H244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4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4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79" sId="4" ref="A244:XFD244" action="deleteRow">
    <rfmt sheetId="4" xfDxf="1" sqref="A244:XFD244" start="0" length="0"/>
    <rcc rId="0" sId="4" dxf="1">
      <nc r="D244">
        <v>2689</v>
      </nc>
      <ndxf>
        <font>
          <b/>
          <sz val="10"/>
          <color auto="1"/>
          <name val="Arial Cyr"/>
          <scheme val="none"/>
        </font>
        <fill>
          <patternFill patternType="solid">
            <bgColor rgb="FFFFFF00"/>
          </patternFill>
        </fill>
      </ndxf>
    </rcc>
    <rcc rId="0" sId="4" dxf="1">
      <nc r="E244">
        <v>21429</v>
      </nc>
      <ndxf>
        <font>
          <b/>
          <sz val="10"/>
          <color auto="1"/>
          <name val="Arial Cyr"/>
          <scheme val="none"/>
        </font>
        <fill>
          <patternFill patternType="solid">
            <bgColor rgb="FFFFFF00"/>
          </patternFill>
        </fill>
      </ndxf>
    </rcc>
    <rfmt sheetId="4" sqref="F244" start="0" length="0">
      <dxf>
        <font>
          <b/>
          <sz val="10"/>
          <color auto="1"/>
          <name val="Arial Cyr"/>
          <scheme val="none"/>
        </font>
      </dxf>
    </rfmt>
    <rfmt sheetId="4" sqref="G244" start="0" length="0">
      <dxf>
        <font>
          <b/>
          <sz val="10"/>
          <color auto="1"/>
          <name val="Arial Cyr"/>
          <scheme val="none"/>
        </font>
      </dxf>
    </rfmt>
    <rfmt sheetId="4" s="1" sqref="H244" start="0" length="0">
      <dxf>
        <font>
          <b/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4" start="0" length="0">
      <dxf>
        <font>
          <b/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J244" start="0" length="0">
      <dxf>
        <font>
          <b/>
          <sz val="10"/>
          <color auto="1"/>
          <name val="Arial Cyr"/>
          <scheme val="none"/>
        </font>
      </dxf>
    </rfmt>
    <rfmt sheetId="4" s="1" sqref="K244" start="0" length="0">
      <dxf>
        <font>
          <b/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80" sId="4" ref="A244:XFD244" action="deleteRow">
    <rfmt sheetId="4" xfDxf="1" sqref="A244:XFD244" start="0" length="0"/>
    <rfmt sheetId="4" sqref="D244" start="0" length="0">
      <dxf>
        <numFmt numFmtId="3" formatCode="#,##0"/>
      </dxf>
    </rfmt>
    <rfmt sheetId="4" sqref="E244" start="0" length="0">
      <dxf>
        <numFmt numFmtId="3" formatCode="#,##0"/>
      </dxf>
    </rfmt>
    <rfmt sheetId="4" sqref="F244" start="0" length="0">
      <dxf>
        <numFmt numFmtId="3" formatCode="#,##0"/>
      </dxf>
    </rfmt>
    <rfmt sheetId="4" sqref="G244" start="0" length="0">
      <dxf>
        <numFmt numFmtId="3" formatCode="#,##0"/>
      </dxf>
    </rfmt>
    <rfmt sheetId="4" sqref="H244" start="0" length="0">
      <dxf>
        <numFmt numFmtId="3" formatCode="#,##0"/>
      </dxf>
    </rfmt>
    <rfmt sheetId="4" sqref="I244" start="0" length="0">
      <dxf>
        <numFmt numFmtId="3" formatCode="#,##0"/>
      </dxf>
    </rfmt>
    <rfmt sheetId="4" sqref="J244" start="0" length="0">
      <dxf>
        <numFmt numFmtId="3" formatCode="#,##0"/>
      </dxf>
    </rfmt>
    <rfmt sheetId="4" sqref="K244" start="0" length="0">
      <dxf>
        <numFmt numFmtId="3" formatCode="#,##0"/>
      </dxf>
    </rfmt>
  </rrc>
  <rrc rId="19581" sId="4" ref="A244:XFD244" action="deleteRow">
    <rfmt sheetId="4" xfDxf="1" sqref="A244:XFD244" start="0" length="0"/>
    <rfmt sheetId="4" sqref="E244" start="0" length="0">
      <dxf>
        <numFmt numFmtId="4" formatCode="#,##0.00"/>
      </dxf>
    </rfmt>
    <rfmt sheetId="4" s="1" sqref="H244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4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4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82" sId="4" ref="A244:XFD244" action="deleteRow">
    <rfmt sheetId="4" xfDxf="1" sqref="A244:XFD244" start="0" length="0"/>
    <rfmt sheetId="4" sqref="D244" start="0" length="0">
      <dxf>
        <numFmt numFmtId="3" formatCode="#,##0"/>
      </dxf>
    </rfmt>
    <rfmt sheetId="4" sqref="E244" start="0" length="0">
      <dxf>
        <numFmt numFmtId="3" formatCode="#,##0"/>
      </dxf>
    </rfmt>
    <rfmt sheetId="4" sqref="F244" start="0" length="0">
      <dxf>
        <numFmt numFmtId="3" formatCode="#,##0"/>
      </dxf>
    </rfmt>
    <rfmt sheetId="4" sqref="G244" start="0" length="0">
      <dxf>
        <numFmt numFmtId="3" formatCode="#,##0"/>
      </dxf>
    </rfmt>
    <rfmt sheetId="4" s="1" sqref="H244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4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4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9583" sId="4" ref="A244:XFD244" action="deleteRow">
    <rfmt sheetId="4" xfDxf="1" sqref="A244:XFD244" start="0" length="0"/>
    <rfmt sheetId="4" s="1" sqref="H244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4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4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84" sId="4" ref="A244:XFD244" action="deleteRow">
    <rfmt sheetId="4" xfDxf="1" sqref="A244:XFD244" start="0" length="0"/>
    <rfmt sheetId="4" s="1" sqref="H244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4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4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85" sId="4" ref="A244:XFD244" action="deleteRow">
    <rfmt sheetId="4" xfDxf="1" sqref="A244:XFD244" start="0" length="0"/>
    <rfmt sheetId="4" s="1" sqref="H244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I244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4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86" sId="4" ref="A244:XFD244" action="deleteRow">
    <rfmt sheetId="4" xfDxf="1" sqref="A244:XFD244" start="0" length="0"/>
    <rfmt sheetId="4" s="1" sqref="H244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4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4" s="1" sqref="K244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87" sId="4" ref="A244:XFD244" action="deleteRow">
    <rfmt sheetId="4" xfDxf="1" sqref="A244:XFD244" start="0" length="0"/>
    <rfmt sheetId="4" s="1" sqref="H244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4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J244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4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88" sId="4" ref="A244:XFD244" action="deleteRow">
    <rfmt sheetId="4" xfDxf="1" sqref="A244:XFD244" start="0" length="0"/>
    <rfmt sheetId="4" s="1" sqref="H244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4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J244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4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89" sId="4" ref="A244:XFD244" action="deleteRow">
    <rfmt sheetId="4" xfDxf="1" sqref="A244:XFD244" start="0" length="0"/>
    <rfmt sheetId="4" s="1" sqref="H244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I244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J244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4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90" sId="4" ref="A244:XFD244" action="deleteRow">
    <rfmt sheetId="4" xfDxf="1" sqref="A244:XFD244" start="0" length="0"/>
    <rfmt sheetId="4" s="1" sqref="H244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I24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4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91" sId="4" ref="A244:XFD244" action="deleteRow">
    <rfmt sheetId="4" xfDxf="1" sqref="A244:XFD244" start="0" length="0"/>
    <rfmt sheetId="4" s="1" sqref="H244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qref="I244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4" s="1" sqref="K244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92" sId="4" ref="A244:XFD244" action="deleteRow">
    <rfmt sheetId="4" xfDxf="1" sqref="A244:XFD244" start="0" length="0"/>
  </rrc>
  <rfmt sheetId="4" sqref="D16" start="0" length="0">
    <dxf/>
  </rfmt>
  <rfmt sheetId="4" sqref="E16" start="0" length="0">
    <dxf/>
  </rfmt>
  <rfmt sheetId="4" sqref="F16" start="0" length="0">
    <dxf/>
  </rfmt>
  <rfmt sheetId="4" sqref="G16" start="0" length="0">
    <dxf/>
  </rfmt>
  <rfmt sheetId="4" sqref="H16" start="0" length="0">
    <dxf/>
  </rfmt>
  <rfmt sheetId="4" sqref="I16" start="0" length="0">
    <dxf/>
  </rfmt>
  <rfmt sheetId="4" sqref="J16" start="0" length="0">
    <dxf/>
  </rfmt>
  <rfmt sheetId="4" sqref="K16" start="0" length="0">
    <dxf/>
  </rfmt>
  <rfmt sheetId="4" sqref="L16" start="0" length="0">
    <dxf/>
  </rfmt>
  <rfmt sheetId="4" sqref="M16" start="0" length="0">
    <dxf/>
  </rfmt>
  <rfmt sheetId="4" sqref="N16" start="0" length="0">
    <dxf/>
  </rfmt>
  <rfmt sheetId="4" sqref="O16" start="0" length="0">
    <dxf/>
  </rfmt>
  <rfmt sheetId="4" sqref="P16" start="0" length="0">
    <dxf/>
  </rfmt>
  <rfmt sheetId="4" sqref="Q16" start="0" length="0">
    <dxf/>
  </rfmt>
  <rcc rId="19593" sId="4">
    <oc r="M1" t="inlineStr">
      <is>
        <t>Приложение № 28</t>
      </is>
    </oc>
    <nc r="M1"/>
  </rcc>
  <rfmt sheetId="4" sqref="D184:K191">
    <dxf>
      <fill>
        <patternFill patternType="none">
          <bgColor auto="1"/>
        </patternFill>
      </fill>
    </dxf>
  </rfmt>
  <rfmt sheetId="4" sqref="D16:E16" start="0" length="0">
    <dxf>
      <border>
        <bottom style="medium">
          <color indexed="64"/>
        </bottom>
      </border>
    </dxf>
  </rfmt>
  <rfmt sheetId="4" sqref="D16:E16">
    <dxf>
      <border>
        <left/>
        <right/>
        <vertical/>
      </border>
    </dxf>
  </rfmt>
  <rfmt sheetId="4" sqref="D16">
    <dxf>
      <alignment wrapText="0" readingOrder="0"/>
    </dxf>
  </rfmt>
  <rfmt sheetId="4" sqref="D16">
    <dxf>
      <alignment wrapText="1" readingOrder="0"/>
    </dxf>
  </rfmt>
  <rrc rId="19594" sId="1" ref="A250:XFD250" action="deleteRow">
    <rfmt sheetId="1" xfDxf="1" sqref="A250:XFD250" start="0" length="0"/>
    <rcc rId="0" sId="1" dxf="1">
      <nc r="D250">
        <f>D246-D248</f>
      </nc>
      <ndxf>
        <numFmt numFmtId="3" formatCode="#,##0"/>
      </ndxf>
    </rcc>
    <rcc rId="0" sId="1" dxf="1">
      <nc r="E250">
        <f>E246-E248</f>
      </nc>
      <ndxf>
        <numFmt numFmtId="164" formatCode="#,##0.00_р_."/>
      </ndxf>
    </rcc>
    <rcc rId="0" sId="1">
      <nc r="I250" t="inlineStr">
        <is>
          <t>Расторгнутые договора</t>
        </is>
      </nc>
    </rcc>
  </rrc>
  <rrc rId="19595" sId="1" ref="A248:XFD248" action="deleteRow">
    <rfmt sheetId="1" xfDxf="1" sqref="A248:XFD248" start="0" length="0"/>
    <rcc rId="0" sId="1">
      <nc r="D248">
        <v>3284</v>
      </nc>
    </rcc>
    <rcc rId="0" sId="1">
      <nc r="E248">
        <v>94202</v>
      </nc>
    </rcc>
    <rfmt sheetId="1" sqref="G248" start="0" length="0">
      <dxf>
        <numFmt numFmtId="4" formatCode="#,##0.00"/>
      </dxf>
    </rfmt>
    <rcc rId="0" sId="1">
      <nc r="J248">
        <v>2761</v>
      </nc>
    </rcc>
    <rcc rId="0" sId="1">
      <nc r="K248">
        <v>34006.9</v>
      </nc>
    </rcc>
  </rrc>
  <rrc rId="19596" sId="1" ref="A249:XFD249" action="deleteRow">
    <rfmt sheetId="1" xfDxf="1" sqref="A249:XFD249" start="0" length="0"/>
    <rfmt sheetId="1" sqref="F249" start="0" length="0">
      <dxf/>
    </rfmt>
    <rfmt sheetId="1" sqref="G249" start="0" length="0">
      <dxf/>
    </rfmt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97" sId="1" ref="A249:XFD249" action="deleteRow">
    <rfmt sheetId="1" xfDxf="1" sqref="A249:XFD249" start="0" length="0"/>
    <rfmt sheetId="1" sqref="D249" start="0" length="0">
      <dxf>
        <numFmt numFmtId="3" formatCode="#,##0"/>
      </dxf>
    </rfmt>
    <rfmt sheetId="1" sqref="E249" start="0" length="0">
      <dxf>
        <numFmt numFmtId="3" formatCode="#,##0"/>
      </dxf>
    </rfmt>
    <rfmt sheetId="1" sqref="F249" start="0" length="0">
      <dxf>
        <numFmt numFmtId="3" formatCode="#,##0"/>
      </dxf>
    </rfmt>
    <rfmt sheetId="1" sqref="G249" start="0" length="0">
      <dxf>
        <numFmt numFmtId="3" formatCode="#,##0"/>
      </dxf>
    </rfmt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98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Times New Roman"/>
          <scheme val="none"/>
        </font>
        <numFmt numFmtId="21" formatCode="dd/mmm"/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Times New Roman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599" sId="1" ref="A249:XFD249" action="deleteRow">
    <rfmt sheetId="1" xfDxf="1" sqref="A249:XFD249" start="0" length="0"/>
    <rfmt sheetId="1" sqref="D249" start="0" length="0">
      <dxf>
        <numFmt numFmtId="3" formatCode="#,##0"/>
      </dxf>
    </rfmt>
    <rfmt sheetId="1" sqref="E249" start="0" length="0">
      <dxf>
        <numFmt numFmtId="3" formatCode="#,##0"/>
      </dxf>
    </rfmt>
    <rfmt sheetId="1" sqref="F249" start="0" length="0">
      <dxf>
        <numFmt numFmtId="3" formatCode="#,##0"/>
      </dxf>
    </rfmt>
    <rfmt sheetId="1" sqref="G249" start="0" length="0">
      <dxf>
        <numFmt numFmtId="3" formatCode="#,##0"/>
      </dxf>
    </rfmt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600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</rrc>
  <rrc rId="19601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602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603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vertic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604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horizontal="left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605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606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607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I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J249" start="0" length="0">
      <dxf>
        <font>
          <sz val="8"/>
          <color auto="1"/>
          <name val="Arial Cyr"/>
          <scheme val="none"/>
        </font>
        <fill>
          <patternFill patternType="solid">
            <bgColor rgb="FFFFFF00"/>
          </patternFill>
        </fill>
        <alignment horizont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608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609" sId="1" ref="A249:XFD249" action="deleteRow">
    <rfmt sheetId="1" xfDxf="1" sqref="A249:XFD249" start="0" length="0"/>
    <rfmt sheetId="1" s="1" sqref="H249" start="0" length="0">
      <dxf>
        <font>
          <sz val="8"/>
          <color auto="1"/>
          <name val="Arial Cyr"/>
          <scheme val="none"/>
        </font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J249" start="0" length="0">
      <dxf>
        <alignment horizontal="center" vertical="top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="1" sqref="K249" start="0" length="0">
      <dxf>
        <font>
          <sz val="8"/>
          <color auto="1"/>
          <name val="Arial Cyr"/>
          <scheme val="none"/>
        </font>
        <alignment horizontal="center"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19610" sId="1" ref="A248:XFD248" action="deleteRow">
    <rfmt sheetId="1" xfDxf="1" sqref="A248:XFD248" start="0" length="0"/>
    <rcc rId="0" sId="1">
      <nc r="B248" t="inlineStr">
        <is>
          <t>* отчет не учитывает заявки потребителей максимальной присоединенной мощностью более 670 кВт</t>
        </is>
      </nc>
    </rcc>
  </rrc>
  <rcc rId="19611" sId="1">
    <nc r="A248" t="inlineStr">
      <is>
        <t>* в  ОАО "Дагэнергосеть"  аннулированных заявок 0 шт. на 0 кВт.</t>
      </is>
    </nc>
  </rcc>
  <rdn rId="0" localSheetId="2" customView="1" name="Z_AE693E57_7143_42C6_BE39_5ABDB0359885_.wvu.FilterData" hidden="1" oldHidden="1">
    <formula>'Ноябрь 2013г'!$C$21:$C$131</formula>
  </rdn>
  <rdn rId="0" localSheetId="1" customView="1" name="Z_AE693E57_7143_42C6_BE39_5ABDB0359885_.wvu.FilterData" hidden="1" oldHidden="1">
    <formula>'декабрь 2014г'!$C$21:$C$246</formula>
  </rdn>
  <rdn rId="0" localSheetId="3" customView="1" name="Z_AE693E57_7143_42C6_BE39_5ABDB0359885_.wvu.Rows" hidden="1" oldHidden="1">
    <formula>'декабрь 2014г. по 6-10'!$2:$12</formula>
  </rdn>
  <rdn rId="0" localSheetId="3" customView="1" name="Z_AE693E57_7143_42C6_BE39_5ABDB0359885_.wvu.FilterData" hidden="1" oldHidden="1">
    <formula>'декабрь 2014г. по 6-10'!$C$21:$C$130</formula>
  </rdn>
  <rdn rId="0" localSheetId="4" customView="1" name="Z_AE693E57_7143_42C6_BE39_5ABDB0359885_.wvu.Rows" hidden="1" oldHidden="1">
    <formula>'декабрь 2014г. по 0,4'!$2:$12</formula>
  </rdn>
  <rdn rId="0" localSheetId="4" customView="1" name="Z_AE693E57_7143_42C6_BE39_5ABDB0359885_.wvu.FilterData" hidden="1" oldHidden="1">
    <formula>'декабрь 2014г. по 0,4'!$C$18:$C$127</formula>
  </rdn>
  <rcv guid="{AE693E57-7143-42C6-BE39-5ABDB0359885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618" sId="1">
    <oc r="M1" t="inlineStr">
      <is>
        <t>Приложение № 28</t>
      </is>
    </oc>
    <nc r="M1"/>
  </rcc>
  <rcc rId="19619" sId="1">
    <oc r="M2" t="inlineStr">
      <is>
        <t xml:space="preserve">к  Положению о технологическом присоединении 
</t>
      </is>
    </oc>
    <nc r="M2"/>
  </rcc>
  <rcc rId="19620" sId="1">
    <oc r="M3" t="inlineStr">
      <is>
        <t xml:space="preserve">энергетических установок к электрическим сетям </t>
      </is>
    </oc>
    <nc r="M3"/>
  </rcc>
  <rcc rId="19621" sId="1">
    <oc r="M4" t="inlineStr">
      <is>
        <t xml:space="preserve">ОАО «МРСК Северного Кавказа», управляемых </t>
      </is>
    </oc>
    <nc r="M4"/>
  </rcc>
  <rcc rId="19622" sId="1">
    <oc r="M5" t="inlineStr">
      <is>
        <t xml:space="preserve">Обществ </t>
      </is>
    </oc>
    <nc r="M5"/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AE693E57-7143-42C6-BE39-5ABDB0359885}" action="delete"/>
  <rdn rId="0" localSheetId="2" customView="1" name="Z_AE693E57_7143_42C6_BE39_5ABDB0359885_.wvu.FilterData" hidden="1" oldHidden="1">
    <formula>'Ноябрь 2013г'!$C$21:$C$131</formula>
    <oldFormula>'Ноябрь 2013г'!$C$21:$C$131</oldFormula>
  </rdn>
  <rdn rId="0" localSheetId="1" customView="1" name="Z_AE693E57_7143_42C6_BE39_5ABDB0359885_.wvu.FilterData" hidden="1" oldHidden="1">
    <formula>'декабрь 2014г'!$C$21:$C$246</formula>
    <oldFormula>'декабрь 2014г'!$C$21:$C$246</oldFormula>
  </rdn>
  <rdn rId="0" localSheetId="3" customView="1" name="Z_AE693E57_7143_42C6_BE39_5ABDB0359885_.wvu.Rows" hidden="1" oldHidden="1">
    <formula>'декабрь 2014г. по 6-10'!$2:$12</formula>
    <oldFormula>'декабрь 2014г. по 6-10'!$2:$12</oldFormula>
  </rdn>
  <rdn rId="0" localSheetId="3" customView="1" name="Z_AE693E57_7143_42C6_BE39_5ABDB0359885_.wvu.FilterData" hidden="1" oldHidden="1">
    <formula>'декабрь 2014г. по 6-10'!$C$21:$C$130</formula>
    <oldFormula>'декабрь 2014г. по 6-10'!$C$21:$C$130</oldFormula>
  </rdn>
  <rdn rId="0" localSheetId="4" customView="1" name="Z_AE693E57_7143_42C6_BE39_5ABDB0359885_.wvu.Rows" hidden="1" oldHidden="1">
    <formula>'декабрь 2014г. по 0,4'!$2:$12</formula>
    <oldFormula>'декабрь 2014г. по 0,4'!$2:$12</oldFormula>
  </rdn>
  <rdn rId="0" localSheetId="4" customView="1" name="Z_AE693E57_7143_42C6_BE39_5ABDB0359885_.wvu.FilterData" hidden="1" oldHidden="1">
    <formula>'декабрь 2014г. по 0,4'!$C$18:$C$127</formula>
    <oldFormula>'декабрь 2014г. по 0,4'!$C$18:$C$127</oldFormula>
  </rdn>
  <rcv guid="{AE693E57-7143-42C6-BE39-5ABDB0359885}" action="add"/>
</revisions>
</file>

<file path=xl/revisions/revisionLog11.xml><?xml version="1.0" encoding="utf-8"?>
<revisions xmlns="http://schemas.openxmlformats.org/spreadsheetml/2006/main" xmlns:r="http://schemas.openxmlformats.org/officeDocument/2006/relationships">
  <rcc rId="18693" sId="3" numFmtId="4">
    <oc r="E92">
      <v>114</v>
    </oc>
    <nc r="E92">
      <v>15</v>
    </nc>
  </rcc>
  <rcc rId="18694" sId="3" numFmtId="4">
    <oc r="E98">
      <f>10+15+86</f>
    </oc>
    <nc r="E98">
      <v>87</v>
    </nc>
  </rcc>
  <rcc rId="18695" sId="3">
    <oc r="E104">
      <f>350+130+70+160+200+65+8+10+160+15+200+20+15+80+3+500+400+700+95</f>
    </oc>
    <nc r="E104">
      <f>350+130+70+160+200+65+8+10+160+15+200+20+15+80+3+500+700+95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rc rId="18880" sId="9" ref="M1:M1048576" action="insertCol"/>
  <rcc rId="18881" sId="9">
    <nc r="M1" t="inlineStr">
      <is>
        <t>янв</t>
      </is>
    </nc>
  </rcc>
  <rcc rId="18882" sId="9">
    <nc r="M5">
      <v>93</v>
    </nc>
  </rcc>
  <rcc rId="18883" sId="9" odxf="1" dxf="1">
    <nc r="M7">
      <f>M5+M3</f>
    </nc>
    <odxf>
      <border outline="0">
        <left/>
        <right/>
        <top/>
        <bottom/>
      </border>
    </odxf>
    <n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884" sId="9" numFmtId="4">
    <nc r="M3">
      <v>1884.2</v>
    </nc>
  </rcc>
  <rfmt sheetId="9" sqref="M3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9" sqref="M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9" sqref="M5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9" sqref="M5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c rId="18885" sId="9">
    <oc r="A5">
      <v>2577.8000000000002</v>
    </oc>
    <nc r="A5"/>
  </rcc>
  <rcc rId="18886" sId="9">
    <nc r="N5">
      <f>SUM(B5:M5)</f>
    </nc>
  </rcc>
  <rcc rId="18887" sId="9" odxf="1" dxf="1">
    <oc r="N3">
      <v>16105</v>
    </oc>
    <nc r="N3">
      <f>SUM(B3:M3)</f>
    </nc>
    <odxf>
      <font>
        <b/>
        <sz val="1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</border>
    </odxf>
    <n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</border>
    </ndxf>
  </rcc>
  <rcc rId="18888" sId="9">
    <nc r="O7">
      <v>34006</v>
    </nc>
  </rcc>
  <rcc rId="18889" sId="9">
    <oc r="N7">
      <v>34006</v>
    </oc>
    <nc r="N7">
      <f>SUM(B7:M7)</f>
    </nc>
  </rcc>
  <rcc rId="18890" sId="9">
    <nc r="P7">
      <f>O7-N7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3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.xml><?xml version="1.0" encoding="utf-8"?>
<revisions xmlns="http://schemas.openxmlformats.org/spreadsheetml/2006/main" xmlns:r="http://schemas.openxmlformats.org/officeDocument/2006/relationships">
  <rcc rId="19163" sId="4" numFmtId="4">
    <oc r="E32">
      <v>254</v>
    </oc>
    <nc r="E32">
      <v>520</v>
    </nc>
  </rcc>
  <rcc rId="19164" sId="4">
    <oc r="E102">
      <v>328</v>
    </oc>
    <nc r="E102">
      <f>328+160+200</f>
    </nc>
  </rcc>
  <rcc rId="19165" sId="4" numFmtId="4">
    <oc r="D101">
      <v>62</v>
    </oc>
    <nc r="D101">
      <v>70</v>
    </nc>
  </rcc>
  <rcc rId="19166" sId="4">
    <oc r="E101">
      <f>467+54</f>
    </oc>
    <nc r="E101">
      <f>467+54+160+100</f>
    </nc>
  </rcc>
  <rcc rId="19167" sId="4">
    <oc r="E249">
      <v>15286.6</v>
    </oc>
    <nc r="E249">
      <v>21429</v>
    </nc>
  </rcc>
  <rcc rId="19168" sId="4" numFmtId="4">
    <oc r="D24">
      <v>0</v>
    </oc>
    <nc r="D24">
      <v>5</v>
    </nc>
  </rcc>
  <rcc rId="19169" sId="4" numFmtId="4">
    <oc r="E24">
      <v>0</v>
    </oc>
    <nc r="E24">
      <v>20</v>
    </nc>
  </rcc>
  <rcc rId="19170" sId="4" numFmtId="4">
    <oc r="D63">
      <v>86</v>
    </oc>
    <nc r="D63">
      <v>95</v>
    </nc>
  </rcc>
  <rcc rId="19171" sId="4">
    <oc r="E63">
      <f>10+7+12+8+15+15+4+12+8+8+7+12+7+15+6+6+8+7+5+15+10+3+15+10+10+5+5+15+5+20+14+15+15+10+15+10+15+3+6+6+8+6+3+10+8+15+25+6+5+15+10+25+15+15+15+25+10+10+7+10+8+10+3+7+7+10+5+3+105+94</f>
    </oc>
    <nc r="E63">
      <f>100+10+7+12+8+15+15+4+12+8+8+7+12+7+15+6+6+8+7+5+15+10+3+15+10+10+5+5+15+5+20+14+15+15+10+15+10+15+3+6+6+8+6+3+10+8+15+25+6+5+15+10+25+15+15+15+25+10+10+7+10+8+10+3+7+7+10+5+3+105+94</f>
    </nc>
  </rcc>
  <rcc rId="19172" sId="4" numFmtId="4">
    <nc r="D60">
      <v>10</v>
    </nc>
  </rcc>
  <rcc rId="19173" sId="4" numFmtId="4">
    <nc r="E60">
      <v>96</v>
    </nc>
  </rcc>
  <rcc rId="19174" sId="4" numFmtId="4">
    <nc r="D49">
      <v>5</v>
    </nc>
  </rcc>
  <rcc rId="19175" sId="4" numFmtId="4">
    <nc r="E49">
      <v>30</v>
    </nc>
  </rcc>
  <rcc rId="19176" sId="4" numFmtId="4">
    <oc r="E31">
      <v>310</v>
    </oc>
    <nc r="E31">
      <f>100+360</f>
    </nc>
  </rcc>
  <rcc rId="19177" sId="4" numFmtId="4">
    <oc r="D35">
      <v>38</v>
    </oc>
    <nc r="D35">
      <v>48</v>
    </nc>
  </rcc>
  <rcc rId="19178" sId="4" numFmtId="4">
    <oc r="E35">
      <v>315</v>
    </oc>
    <nc r="E35">
      <v>380</v>
    </nc>
  </rcc>
  <rcc rId="19179" sId="4" numFmtId="4">
    <nc r="D41">
      <v>9</v>
    </nc>
  </rcc>
  <rcc rId="19180" sId="4" numFmtId="4">
    <nc r="E41">
      <v>85</v>
    </nc>
  </rcc>
  <rcc rId="19181" sId="4" numFmtId="4">
    <nc r="D47">
      <v>15</v>
    </nc>
  </rcc>
  <rcc rId="19182" sId="4" numFmtId="4">
    <nc r="E47">
      <v>110</v>
    </nc>
  </rcc>
  <rcc rId="19183" sId="4" numFmtId="4">
    <nc r="D73">
      <v>12</v>
    </nc>
  </rcc>
  <rcc rId="19184" sId="4" numFmtId="4">
    <nc r="E73">
      <v>92</v>
    </nc>
  </rcc>
  <rcc rId="19185" sId="4" numFmtId="4">
    <nc r="D76">
      <v>4</v>
    </nc>
  </rcc>
  <rcc rId="19186" sId="4" numFmtId="4">
    <nc r="E76">
      <v>31</v>
    </nc>
  </rcc>
  <rcc rId="19187" sId="4" numFmtId="4">
    <oc r="D80">
      <v>4</v>
    </oc>
    <nc r="D80">
      <v>8</v>
    </nc>
  </rcc>
  <rcc rId="19188" sId="4" numFmtId="4">
    <nc r="D85">
      <v>3</v>
    </nc>
  </rcc>
  <rcc rId="19189" sId="4" numFmtId="4">
    <nc r="E85">
      <v>30</v>
    </nc>
  </rcc>
  <rcc rId="19190" sId="4" numFmtId="4">
    <nc r="D86">
      <v>3</v>
    </nc>
  </rcc>
  <rcc rId="19191" sId="4" numFmtId="4">
    <nc r="E86">
      <v>20</v>
    </nc>
  </rcc>
  <rcc rId="19192" sId="4" numFmtId="4">
    <nc r="D172">
      <v>6</v>
    </nc>
  </rcc>
  <rcc rId="19193" sId="4" numFmtId="4">
    <nc r="E172">
      <v>60</v>
    </nc>
  </rcc>
  <rcc rId="19194" sId="4">
    <nc r="D170">
      <v>18</v>
    </nc>
  </rcc>
  <rcc rId="19195" sId="4">
    <nc r="E170">
      <v>120</v>
    </nc>
  </rcc>
  <rcc rId="19196" sId="4" numFmtId="4">
    <nc r="D165">
      <v>8</v>
    </nc>
  </rcc>
  <rcc rId="19197" sId="4" numFmtId="4">
    <nc r="E165">
      <v>65</v>
    </nc>
  </rcc>
  <rcc rId="19198" sId="4" numFmtId="4">
    <oc r="D161">
      <v>5</v>
    </oc>
    <nc r="D161">
      <v>15</v>
    </nc>
  </rcc>
  <rcc rId="19199" sId="4" numFmtId="4">
    <oc r="E161">
      <v>19</v>
    </oc>
    <nc r="E161">
      <v>167</v>
    </nc>
  </rcc>
  <rcc rId="19200" sId="4">
    <nc r="D158">
      <v>25</v>
    </nc>
  </rcc>
  <rcc rId="19201" sId="4">
    <nc r="E158">
      <v>168</v>
    </nc>
  </rcc>
  <rcc rId="19202" sId="4" numFmtId="4">
    <nc r="D156">
      <v>15</v>
    </nc>
  </rcc>
  <rcc rId="19203" sId="4" numFmtId="4">
    <nc r="E156">
      <v>84</v>
    </nc>
  </rcc>
  <rcc rId="19204" sId="4" numFmtId="4">
    <nc r="D137">
      <v>2</v>
    </nc>
  </rcc>
  <rcc rId="19205" sId="4" numFmtId="4">
    <nc r="E137">
      <v>20</v>
    </nc>
  </rcc>
  <rcc rId="19206" sId="4" numFmtId="4">
    <nc r="D136">
      <v>3</v>
    </nc>
  </rcc>
  <rcc rId="19207" sId="4" numFmtId="4">
    <nc r="E136">
      <v>25</v>
    </nc>
  </rcc>
  <rcc rId="19208" sId="4" numFmtId="4">
    <nc r="D130">
      <v>9</v>
    </nc>
  </rcc>
  <rcc rId="19209" sId="4" numFmtId="4">
    <nc r="E130">
      <v>70</v>
    </nc>
  </rcc>
  <rcc rId="19210" sId="4" numFmtId="4">
    <nc r="D131">
      <v>7</v>
    </nc>
  </rcc>
  <rcc rId="19211" sId="4" numFmtId="4">
    <nc r="E131">
      <v>63</v>
    </nc>
  </rcc>
  <rcc rId="19212" sId="4" numFmtId="4">
    <nc r="D118">
      <v>12</v>
    </nc>
  </rcc>
  <rcc rId="19213" sId="4" numFmtId="4">
    <nc r="E118">
      <v>90</v>
    </nc>
  </rcc>
  <rcc rId="19214" sId="4" numFmtId="4">
    <oc r="D115">
      <v>4</v>
    </oc>
    <nc r="D115">
      <v>14</v>
    </nc>
  </rcc>
  <rcc rId="19215" sId="4" numFmtId="4">
    <oc r="E115">
      <f>4+10+12+10</f>
    </oc>
    <nc r="E115">
      <v>110</v>
    </nc>
  </rcc>
  <rcc rId="19216" sId="4" numFmtId="4">
    <nc r="D112">
      <v>5</v>
    </nc>
  </rcc>
  <rcc rId="19217" sId="4" numFmtId="4">
    <nc r="E112">
      <v>45</v>
    </nc>
  </rcc>
  <rcc rId="19218" sId="4" numFmtId="4">
    <nc r="D113">
      <v>5</v>
    </nc>
  </rcc>
  <rcc rId="19219" sId="4" numFmtId="4">
    <nc r="E113">
      <v>50</v>
    </nc>
  </rcc>
  <rcc rId="19220" sId="4" numFmtId="4">
    <oc r="E237">
      <f>375.5+16</f>
    </oc>
    <nc r="E237">
      <v>382.5</v>
    </nc>
  </rcc>
  <rcc rId="19221" sId="4" numFmtId="4">
    <oc r="D218">
      <v>10</v>
    </oc>
    <nc r="D218">
      <v>15</v>
    </nc>
  </rcc>
  <rcc rId="19222" sId="4" numFmtId="4">
    <oc r="F218">
      <v>10</v>
    </oc>
    <nc r="F218">
      <v>15</v>
    </nc>
  </rcc>
  <rcc rId="19223" sId="4" numFmtId="4">
    <oc r="D215">
      <v>1</v>
    </oc>
    <nc r="D215">
      <v>2</v>
    </nc>
  </rcc>
  <rcc rId="19224" sId="4" numFmtId="4">
    <oc r="F215">
      <v>1</v>
    </oc>
    <nc r="F215">
      <v>2</v>
    </nc>
  </rcc>
  <rcc rId="19225" sId="4" numFmtId="4">
    <oc r="D22">
      <v>20</v>
    </oc>
    <nc r="D22">
      <v>32</v>
    </nc>
  </rcc>
  <rcc rId="19226" sId="4" numFmtId="4">
    <oc r="D29">
      <v>46</v>
    </oc>
    <nc r="D29">
      <v>63</v>
    </nc>
  </rcc>
  <rcc rId="19227" sId="4" numFmtId="4">
    <oc r="D31">
      <v>27</v>
    </oc>
    <nc r="D31">
      <v>49</v>
    </nc>
  </rcc>
  <rcc rId="19228" sId="4" numFmtId="4">
    <oc r="D32">
      <v>23</v>
    </oc>
    <nc r="D32">
      <v>55</v>
    </nc>
  </rcc>
  <rcc rId="19229" sId="4" numFmtId="4">
    <oc r="D65">
      <v>21</v>
    </oc>
    <nc r="D65">
      <v>33</v>
    </nc>
  </rcc>
  <rcc rId="19230" sId="4" numFmtId="4">
    <oc r="F65">
      <v>6</v>
    </oc>
    <nc r="F65">
      <v>11</v>
    </nc>
  </rcc>
  <rcc rId="19231" sId="4" numFmtId="4">
    <oc r="D64">
      <v>39</v>
    </oc>
    <nc r="D64">
      <v>41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.xml><?xml version="1.0" encoding="utf-8"?>
<revisions xmlns="http://schemas.openxmlformats.org/spreadsheetml/2006/main" xmlns:r="http://schemas.openxmlformats.org/officeDocument/2006/relationships">
  <rcc rId="19238" sId="4">
    <oc r="F248">
      <f>1044+285</f>
    </oc>
    <nc r="F248"/>
  </rcc>
  <rcc rId="19239" sId="4">
    <oc r="G248">
      <f>8179+2137.6</f>
    </oc>
    <nc r="G248"/>
  </rcc>
  <rcc rId="19240" sId="4">
    <oc r="F250">
      <f>F248-F243</f>
    </oc>
    <nc r="F250"/>
  </rcc>
  <rcc rId="19241" sId="4">
    <oc r="G250">
      <f>G248-G243</f>
    </oc>
    <nc r="G250"/>
  </rcc>
  <rcc rId="19242" sId="4" numFmtId="4">
    <nc r="J226">
      <v>1</v>
    </nc>
  </rcc>
  <rcc rId="19243" sId="4" numFmtId="4">
    <nc r="K226">
      <v>7</v>
    </nc>
  </rcc>
  <rcc rId="19244" sId="4" numFmtId="4">
    <nc r="J227">
      <v>1</v>
    </nc>
  </rcc>
  <rcc rId="19245" sId="4" numFmtId="4">
    <nc r="K227">
      <v>15</v>
    </nc>
  </rcc>
  <rcc rId="19246" sId="4" numFmtId="4">
    <nc r="J230">
      <v>9</v>
    </nc>
  </rcc>
  <rcc rId="19247" sId="4" numFmtId="4">
    <nc r="K230">
      <v>90</v>
    </nc>
  </rcc>
  <rcc rId="19248" sId="4" numFmtId="4">
    <nc r="J231">
      <v>12</v>
    </nc>
  </rcc>
  <rcc rId="19249" sId="4" numFmtId="4">
    <nc r="K231">
      <v>74</v>
    </nc>
  </rcc>
  <rcc rId="19250" sId="4" numFmtId="4">
    <nc r="J233">
      <v>7</v>
    </nc>
  </rcc>
  <rcc rId="19251" sId="4" numFmtId="4">
    <nc r="K233">
      <v>45</v>
    </nc>
  </rcc>
  <rcc rId="19252" sId="4" numFmtId="4">
    <nc r="J234">
      <v>5</v>
    </nc>
  </rcc>
  <rcc rId="19253" sId="4" numFmtId="4">
    <nc r="K234">
      <v>25</v>
    </nc>
  </rcc>
  <rcc rId="19254" sId="4" numFmtId="4">
    <oc r="J237">
      <v>40</v>
    </oc>
    <nc r="J237">
      <v>49</v>
    </nc>
  </rcc>
  <rcc rId="19255" sId="4" numFmtId="4">
    <oc r="K237">
      <v>301</v>
    </oc>
    <nc r="K237">
      <v>382.5</v>
    </nc>
  </rcc>
  <rcc rId="19256" sId="4" numFmtId="4">
    <nc r="J238">
      <v>6</v>
    </nc>
  </rcc>
  <rcc rId="19257" sId="4">
    <nc r="K238">
      <f>10+9+5+6+6+6</f>
    </nc>
  </rcc>
  <rcc rId="19258" sId="4" numFmtId="4">
    <nc r="J239">
      <v>1</v>
    </nc>
  </rcc>
  <rcc rId="19259" sId="4" numFmtId="4">
    <nc r="K239">
      <v>8</v>
    </nc>
  </rcc>
  <rcc rId="19260" sId="4" numFmtId="4">
    <nc r="J240">
      <v>15</v>
    </nc>
  </rcc>
  <rcc rId="19261" sId="4">
    <nc r="K240">
      <f>8+10+20+8+15+10+15+15</f>
    </nc>
  </rcc>
  <rcc rId="19262" sId="4" numFmtId="4">
    <nc r="J229">
      <v>18</v>
    </nc>
  </rcc>
  <rcc rId="19263" sId="4" numFmtId="4">
    <nc r="K229">
      <v>200</v>
    </nc>
  </rcc>
  <rcc rId="19264" sId="4" numFmtId="4">
    <nc r="J206">
      <v>6</v>
    </nc>
  </rcc>
  <rcc rId="19265" sId="4">
    <nc r="K206">
      <f>10+5+5+5+5+5</f>
    </nc>
  </rcc>
  <rcc rId="19266" sId="4" numFmtId="4">
    <oc r="J207">
      <v>15</v>
    </oc>
    <nc r="J207">
      <v>2</v>
    </nc>
  </rcc>
  <rcc rId="19267" sId="4" numFmtId="4">
    <oc r="K207">
      <v>50</v>
    </oc>
    <nc r="K207">
      <f>7.5+3</f>
    </nc>
  </rcc>
  <rcc rId="19268" sId="4" numFmtId="4">
    <oc r="J208">
      <v>15</v>
    </oc>
    <nc r="J208">
      <v>9</v>
    </nc>
  </rcc>
  <rcc rId="19269" sId="4" numFmtId="4">
    <oc r="K208">
      <v>65</v>
    </oc>
    <nc r="K208">
      <f>13+15+13+8+6+40</f>
    </nc>
  </rcc>
  <rcc rId="19270" sId="4" numFmtId="4">
    <oc r="J209">
      <v>17</v>
    </oc>
    <nc r="J209">
      <v>9</v>
    </nc>
  </rcc>
  <rcc rId="19271" sId="4" numFmtId="4">
    <oc r="K209">
      <v>69</v>
    </oc>
    <nc r="K209">
      <v>90</v>
    </nc>
  </rcc>
  <rcc rId="19272" sId="4" numFmtId="4">
    <oc r="J210">
      <v>43</v>
    </oc>
    <nc r="J210">
      <v>1</v>
    </nc>
  </rcc>
  <rcc rId="19273" sId="4" numFmtId="4">
    <oc r="K210">
      <v>223</v>
    </oc>
    <nc r="K210">
      <v>15</v>
    </nc>
  </rcc>
  <rcc rId="19274" sId="4" numFmtId="4">
    <oc r="J211">
      <v>13</v>
    </oc>
    <nc r="J211">
      <v>3</v>
    </nc>
  </rcc>
  <rcc rId="19275" sId="4" numFmtId="4">
    <oc r="K211">
      <v>98</v>
    </oc>
    <nc r="K211">
      <f>20+10+7</f>
    </nc>
  </rcc>
  <rcc rId="19276" sId="4" numFmtId="4">
    <oc r="J212">
      <v>15</v>
    </oc>
    <nc r="J212">
      <v>11</v>
    </nc>
  </rcc>
  <rcc rId="19277" sId="4" numFmtId="4">
    <oc r="K212">
      <v>70</v>
    </oc>
    <nc r="K212">
      <v>126</v>
    </nc>
  </rcc>
  <rcc rId="19278" sId="4" numFmtId="4">
    <nc r="J213">
      <v>4</v>
    </nc>
  </rcc>
  <rcc rId="19279" sId="4" numFmtId="4">
    <nc r="K213">
      <v>62</v>
    </nc>
  </rcc>
  <rcc rId="19280" sId="4" numFmtId="4">
    <oc r="J214">
      <v>19</v>
    </oc>
    <nc r="J214">
      <v>1</v>
    </nc>
  </rcc>
  <rcc rId="19281" sId="4" numFmtId="4">
    <oc r="K214">
      <v>145</v>
    </oc>
    <nc r="K214">
      <v>3</v>
    </nc>
  </rcc>
  <rcc rId="19282" sId="4" numFmtId="4">
    <nc r="J215">
      <v>2</v>
    </nc>
  </rcc>
  <rcc rId="19283" sId="4" numFmtId="4">
    <nc r="K215">
      <v>15</v>
    </nc>
  </rcc>
  <rcc rId="19284" sId="4" numFmtId="4">
    <nc r="J216">
      <v>1</v>
    </nc>
  </rcc>
  <rcc rId="19285" sId="4" numFmtId="4">
    <nc r="K216">
      <v>7</v>
    </nc>
  </rcc>
  <rcc rId="19286" sId="4" numFmtId="4">
    <oc r="J217">
      <v>18</v>
    </oc>
    <nc r="J217">
      <v>7</v>
    </nc>
  </rcc>
  <rcc rId="19287" sId="4" numFmtId="4">
    <oc r="K217">
      <v>56</v>
    </oc>
    <nc r="K217">
      <v>25</v>
    </nc>
  </rcc>
  <rcc rId="19288" sId="4" numFmtId="4">
    <nc r="J218">
      <v>15</v>
    </nc>
  </rcc>
  <rcc rId="19289" sId="4" numFmtId="4">
    <nc r="K218">
      <v>148</v>
    </nc>
  </rcc>
  <rcc rId="19290" sId="4" numFmtId="4">
    <nc r="J219">
      <v>1</v>
    </nc>
  </rcc>
  <rcc rId="19291" sId="4" numFmtId="4">
    <nc r="K219">
      <v>30</v>
    </nc>
  </rcc>
  <rcc rId="19292" sId="4" numFmtId="4">
    <nc r="J220">
      <v>6</v>
    </nc>
  </rcc>
  <rcc rId="19293" sId="4" numFmtId="4">
    <nc r="K220">
      <v>41</v>
    </nc>
  </rcc>
  <rcc rId="19294" sId="4" numFmtId="4">
    <oc r="J221">
      <v>3</v>
    </oc>
    <nc r="J221">
      <v>18</v>
    </nc>
  </rcc>
  <rcc rId="19295" sId="4" numFmtId="4">
    <oc r="K221">
      <v>10</v>
    </oc>
    <nc r="K221">
      <v>332</v>
    </nc>
  </rcc>
  <rcc rId="19296" sId="4" numFmtId="4">
    <nc r="J222">
      <v>6</v>
    </nc>
  </rcc>
  <rcc rId="19297" sId="4">
    <nc r="K222">
      <f>14+10+10+10+10+6</f>
    </nc>
  </rcc>
  <rcc rId="19298" sId="4" numFmtId="4">
    <nc r="J223">
      <v>5</v>
    </nc>
  </rcc>
  <rcc rId="19299" sId="4">
    <nc r="K223">
      <f>13+13</f>
    </nc>
  </rcc>
  <rcc rId="19300" sId="4" numFmtId="4">
    <nc r="J224">
      <v>17</v>
    </nc>
  </rcc>
  <rcc rId="19301" sId="4" numFmtId="4">
    <nc r="K224">
      <v>159</v>
    </nc>
  </rcc>
  <rcc rId="19302" sId="4" numFmtId="4">
    <nc r="J195">
      <v>16</v>
    </nc>
  </rcc>
  <rcc rId="19303" sId="4" numFmtId="4">
    <nc r="K195">
      <v>75</v>
    </nc>
  </rcc>
  <rcc rId="19304" sId="4" numFmtId="4">
    <nc r="J196">
      <v>5</v>
    </nc>
  </rcc>
  <rcc rId="19305" sId="4" numFmtId="4">
    <nc r="K196">
      <v>45</v>
    </nc>
  </rcc>
  <rcc rId="19306" sId="4" numFmtId="4">
    <nc r="J197">
      <v>9</v>
    </nc>
  </rcc>
  <rcc rId="19307" sId="4" numFmtId="4">
    <nc r="K197">
      <v>35</v>
    </nc>
  </rcc>
  <rcc rId="19308" sId="4" numFmtId="4">
    <oc r="J198">
      <v>9</v>
    </oc>
    <nc r="J198">
      <v>7</v>
    </nc>
  </rcc>
  <rcc rId="19309" sId="4" numFmtId="4">
    <oc r="K198">
      <v>82</v>
    </oc>
    <nc r="K198">
      <f>15+10+3+25</f>
    </nc>
  </rcc>
  <rfmt sheetId="4" sqref="J184" start="0" length="0">
    <dxf>
      <fill>
        <patternFill patternType="solid">
          <bgColor rgb="FFFFFF00"/>
        </patternFill>
      </fill>
    </dxf>
  </rfmt>
  <rfmt sheetId="4" sqref="K184" start="0" length="0">
    <dxf>
      <fill>
        <patternFill patternType="solid">
          <bgColor rgb="FFFFFF00"/>
        </patternFill>
      </fill>
    </dxf>
  </rfmt>
  <rfmt sheetId="4" sqref="J185" start="0" length="0">
    <dxf>
      <fill>
        <patternFill patternType="solid">
          <bgColor rgb="FFFFFF00"/>
        </patternFill>
      </fill>
    </dxf>
  </rfmt>
  <rfmt sheetId="4" sqref="K185" start="0" length="0">
    <dxf>
      <fill>
        <patternFill patternType="solid">
          <bgColor rgb="FFFFFF00"/>
        </patternFill>
      </fill>
    </dxf>
  </rfmt>
  <rcc rId="19310" sId="4" odxf="1" dxf="1" numFmtId="4">
    <nc r="J186">
      <v>13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311" sId="4" odxf="1" dxf="1" numFmtId="4">
    <nc r="K186">
      <v>75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312" sId="4" odxf="1" dxf="1" numFmtId="4">
    <nc r="J187">
      <v>8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313" sId="4" odxf="1" dxf="1" numFmtId="4">
    <nc r="K187">
      <v>80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314" sId="4" odxf="1" dxf="1" numFmtId="4">
    <nc r="J188">
      <v>9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315" sId="4" odxf="1" dxf="1" numFmtId="4">
    <nc r="K188">
      <v>93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316" sId="4" odxf="1" dxf="1" numFmtId="4">
    <nc r="J189">
      <v>5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317" sId="4" odxf="1" dxf="1" numFmtId="4">
    <nc r="K189">
      <v>20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318" sId="4" odxf="1" dxf="1" numFmtId="4">
    <nc r="J190">
      <v>11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319" sId="4" odxf="1" dxf="1" numFmtId="4">
    <nc r="K190">
      <v>70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320" sId="4" odxf="1" dxf="1" numFmtId="4">
    <nc r="J191">
      <v>4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321" sId="4" odxf="1" dxf="1" numFmtId="4">
    <nc r="K191">
      <v>30</v>
    </nc>
    <odxf>
      <fill>
        <patternFill patternType="none">
          <bgColor indexed="65"/>
        </patternFill>
      </fill>
    </odxf>
    <ndxf>
      <fill>
        <patternFill patternType="solid">
          <bgColor rgb="FFFFFF00"/>
        </patternFill>
      </fill>
    </ndxf>
  </rcc>
  <rcc rId="19322" sId="4" numFmtId="4">
    <oc r="K184">
      <v>150</v>
    </oc>
    <nc r="K184">
      <v>180</v>
    </nc>
  </rcc>
  <rcc rId="19323" sId="4" numFmtId="4">
    <nc r="J185">
      <v>40</v>
    </nc>
  </rcc>
  <rcc rId="19324" sId="4" numFmtId="4">
    <nc r="K185">
      <v>85</v>
    </nc>
  </rcc>
  <rcc rId="19325" sId="4" numFmtId="4">
    <oc r="J171">
      <v>31</v>
    </oc>
    <nc r="J171">
      <v>11</v>
    </nc>
  </rcc>
  <rcc rId="19326" sId="4" numFmtId="4">
    <oc r="K171">
      <v>99</v>
    </oc>
    <nc r="K171">
      <v>66</v>
    </nc>
  </rcc>
  <rcc rId="19327" sId="4" numFmtId="4">
    <nc r="J172">
      <v>6</v>
    </nc>
  </rcc>
  <rcc rId="19328" sId="4" numFmtId="4">
    <nc r="K172">
      <v>60</v>
    </nc>
  </rcc>
  <rcc rId="19329" sId="4" numFmtId="4">
    <nc r="J173">
      <v>5</v>
    </nc>
  </rcc>
  <rcc rId="19330" sId="4" numFmtId="4">
    <nc r="K173">
      <v>20</v>
    </nc>
  </rcc>
  <rcc rId="19331" sId="4" numFmtId="4">
    <nc r="J175">
      <v>15</v>
    </nc>
  </rcc>
  <rcc rId="19332" sId="4" numFmtId="4">
    <nc r="J177">
      <v>2</v>
    </nc>
  </rcc>
  <rcc rId="19333" sId="4" numFmtId="4">
    <nc r="K177">
      <v>30</v>
    </nc>
  </rcc>
  <rcc rId="19334" sId="4" numFmtId="4">
    <nc r="J178">
      <v>1</v>
    </nc>
  </rcc>
  <rcc rId="19335" sId="4" numFmtId="4">
    <nc r="K178">
      <v>12</v>
    </nc>
  </rcc>
  <rcc rId="19336" sId="4" numFmtId="4">
    <nc r="J159">
      <v>2</v>
    </nc>
  </rcc>
  <rcc rId="19337" sId="4" numFmtId="4">
    <nc r="K159">
      <v>7</v>
    </nc>
  </rcc>
  <rcc rId="19338" sId="4" odxf="1" dxf="1">
    <nc r="J158">
      <v>25</v>
    </nc>
    <odxf/>
    <ndxf/>
  </rcc>
  <rcc rId="19339" sId="4" odxf="1" dxf="1">
    <nc r="K158">
      <v>168</v>
    </nc>
    <odxf/>
    <ndxf/>
  </rcc>
  <rcc rId="19340" sId="4" numFmtId="4">
    <nc r="J154">
      <v>7</v>
    </nc>
  </rcc>
  <rcc rId="19341" sId="4" numFmtId="4">
    <nc r="K154">
      <v>20</v>
    </nc>
  </rcc>
  <rcc rId="19342" sId="4" numFmtId="4">
    <nc r="J156">
      <v>15</v>
    </nc>
  </rcc>
  <rcc rId="19343" sId="4" numFmtId="4">
    <nc r="K156">
      <v>84</v>
    </nc>
  </rcc>
  <rcc rId="19344" sId="4" odxf="1" dxf="1">
    <nc r="J135">
      <v>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45" sId="4" odxf="1" dxf="1">
    <nc r="K135">
      <v>32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46" sId="4" odxf="1" dxf="1" numFmtId="4">
    <nc r="J136">
      <v>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47" sId="4" odxf="1" dxf="1" numFmtId="4">
    <nc r="K136">
      <v>25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48" sId="4" odxf="1" dxf="1" numFmtId="4">
    <nc r="J137">
      <v>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49" sId="4" odxf="1" dxf="1" numFmtId="4">
    <nc r="K137">
      <v>20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4" sqref="J138" start="0" length="0">
    <dxf>
      <fill>
        <patternFill patternType="solid">
          <bgColor theme="0"/>
        </patternFill>
      </fill>
    </dxf>
  </rfmt>
  <rfmt sheetId="4" sqref="K138" start="0" length="0">
    <dxf>
      <fill>
        <patternFill patternType="solid">
          <bgColor theme="0"/>
        </patternFill>
      </fill>
    </dxf>
  </rfmt>
  <rcc rId="19350" sId="4" odxf="1" dxf="1" numFmtId="4">
    <nc r="J139">
      <v>11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51" sId="4" odxf="1" dxf="1">
    <nc r="K139">
      <f>8+14+13+3+5+12+5+5+5+13+8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52" sId="4" odxf="1" dxf="1" numFmtId="4">
    <nc r="J140">
      <v>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53" sId="4" odxf="1" dxf="1">
    <nc r="K140">
      <f>12+3+15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4" sqref="J141" start="0" length="0">
    <dxf>
      <fill>
        <patternFill patternType="solid">
          <bgColor theme="0"/>
        </patternFill>
      </fill>
    </dxf>
  </rfmt>
  <rfmt sheetId="4" sqref="K141" start="0" length="0">
    <dxf>
      <fill>
        <patternFill patternType="solid">
          <bgColor theme="0"/>
        </patternFill>
      </fill>
    </dxf>
  </rfmt>
  <rcc rId="19354" sId="4" odxf="1" dxf="1" numFmtId="4">
    <nc r="J142">
      <v>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55" sId="4" odxf="1" dxf="1">
    <nc r="K142">
      <f>14+12+8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56" sId="4" odxf="1" dxf="1" numFmtId="4">
    <nc r="J143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57" sId="4" odxf="1" dxf="1" numFmtId="4">
    <nc r="K143">
      <v>12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58" sId="4" odxf="1" dxf="1" numFmtId="4">
    <nc r="J144">
      <v>23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59" sId="4" odxf="1" dxf="1">
    <nc r="K144">
      <f>82+12.5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60" sId="4" odxf="1" dxf="1" numFmtId="4">
    <oc r="J145">
      <v>1</v>
    </oc>
    <nc r="J145">
      <v>4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61" sId="4" odxf="1" dxf="1" numFmtId="4">
    <oc r="K145">
      <v>5</v>
    </oc>
    <nc r="K145">
      <f>5+6+4+8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62" sId="4" odxf="1" dxf="1" numFmtId="4">
    <nc r="J146">
      <v>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63" sId="4" odxf="1" dxf="1">
    <nc r="K146">
      <f>3+3+2.5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64" sId="4" odxf="1" dxf="1">
    <nc r="J147">
      <v>11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65" sId="4" odxf="1" dxf="1">
    <nc r="K147">
      <f>14.5+5+13+10+5+10+4+13+15+5+8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66" sId="4" odxf="1" dxf="1" numFmtId="4">
    <nc r="J148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67" sId="4" odxf="1" dxf="1" numFmtId="4">
    <nc r="K148">
      <v>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68" sId="4" odxf="1" dxf="1" numFmtId="4">
    <nc r="J149">
      <v>4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69" sId="4" odxf="1" dxf="1" numFmtId="4">
    <nc r="K149">
      <v>20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70" sId="4" odxf="1" dxf="1" numFmtId="4">
    <nc r="J125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71" sId="4" odxf="1" dxf="1" numFmtId="4">
    <nc r="K125">
      <v>1.8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72" sId="4" odxf="1" dxf="1" numFmtId="4">
    <nc r="J126">
      <v>9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73" sId="4" odxf="1" dxf="1">
    <nc r="K126">
      <f>15+14+13+10+6+7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74" sId="4" odxf="1" dxf="1" numFmtId="4">
    <nc r="J127">
      <v>7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75" sId="4" odxf="1" dxf="1">
    <nc r="K127">
      <f>3+5+10+10+7+10+5.5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76" sId="4" odxf="1" dxf="1" numFmtId="4">
    <oc r="J128">
      <v>24</v>
    </oc>
    <nc r="J128">
      <v>4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77" sId="4" odxf="1" dxf="1" numFmtId="4">
    <oc r="K128">
      <v>137</v>
    </oc>
    <nc r="K128">
      <f>12+7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78" sId="4" odxf="1" dxf="1" numFmtId="4">
    <oc r="J129">
      <v>37</v>
    </oc>
    <nc r="J129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79" sId="4" odxf="1" dxf="1" numFmtId="4">
    <oc r="K129">
      <v>201</v>
    </oc>
    <nc r="K129">
      <v>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80" sId="4" odxf="1" dxf="1" numFmtId="4">
    <nc r="J130">
      <v>9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81" sId="4" odxf="1" dxf="1" numFmtId="4">
    <nc r="K130">
      <v>70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82" sId="4" odxf="1" dxf="1" numFmtId="4">
    <oc r="J131">
      <v>16</v>
    </oc>
    <nc r="J131">
      <v>7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83" sId="4" odxf="1" dxf="1" numFmtId="4">
    <oc r="K131">
      <v>87</v>
    </oc>
    <nc r="K131">
      <v>63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84" sId="4" odxf="1" dxf="1" numFmtId="4">
    <nc r="J132">
      <v>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85" sId="4" odxf="1" dxf="1">
    <nc r="K132">
      <f>3+10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86" sId="4" odxf="1" dxf="1" numFmtId="4">
    <nc r="J133">
      <v>7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87" sId="4" odxf="1" dxf="1">
    <nc r="K133">
      <f>15+3+32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88" sId="4" odxf="1" dxf="1" numFmtId="4">
    <nc r="J118">
      <v>12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89" sId="4" odxf="1" dxf="1" numFmtId="4">
    <nc r="K118">
      <v>90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90" sId="4" odxf="1" dxf="1" numFmtId="4">
    <nc r="J119">
      <v>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91" sId="4" odxf="1" dxf="1">
    <nc r="K119">
      <f>7.5+6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92" sId="4" odxf="1" dxf="1" numFmtId="4">
    <nc r="J120">
      <v>11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93" sId="4" odxf="1" dxf="1" numFmtId="4">
    <nc r="K120">
      <v>50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94" sId="4" odxf="1" dxf="1" numFmtId="4">
    <nc r="J121">
      <v>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95" sId="4" odxf="1" dxf="1">
    <nc r="K121">
      <f>2.5+5+5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96" sId="4" numFmtId="4">
    <oc r="J122">
      <v>2</v>
    </oc>
    <nc r="J122">
      <v>10</v>
    </nc>
  </rcc>
  <rcc rId="19397" sId="4">
    <oc r="K122">
      <f>8+10</f>
    </oc>
    <nc r="K122">
      <f>8+10+1.8+14+8+24</f>
    </nc>
  </rcc>
  <rcc rId="19398" sId="4" odxf="1" dxf="1" numFmtId="4">
    <nc r="J123">
      <v>3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399" sId="4" odxf="1" dxf="1">
    <nc r="K123">
      <f>5+5+5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400" sId="4" numFmtId="4">
    <oc r="J109">
      <v>1</v>
    </oc>
    <nc r="J109">
      <v>13</v>
    </nc>
  </rcc>
  <rcc rId="19401" sId="4">
    <oc r="K109">
      <f>6</f>
    </oc>
    <nc r="K109">
      <f>6+4+5+5+3+7+7+5+7+5+7+8</f>
    </nc>
  </rcc>
  <rcc rId="19402" sId="4" numFmtId="4">
    <nc r="J110">
      <v>9</v>
    </nc>
  </rcc>
  <rcc rId="19403" sId="4">
    <nc r="K110">
      <f>1.8+1.8+1.8+7+8+8+8+8+2</f>
    </nc>
  </rcc>
  <rcc rId="19404" sId="4" numFmtId="4">
    <oc r="J111">
      <v>9</v>
    </oc>
    <nc r="J111">
      <v>7</v>
    </nc>
  </rcc>
  <rcc rId="19405" sId="4" numFmtId="4">
    <oc r="K111">
      <v>87</v>
    </oc>
    <nc r="K111">
      <v>79.5</v>
    </nc>
  </rcc>
  <rcc rId="19406" sId="4" numFmtId="4">
    <nc r="J112">
      <v>5</v>
    </nc>
  </rcc>
  <rcc rId="19407" sId="4" numFmtId="4">
    <nc r="K112">
      <v>45</v>
    </nc>
  </rcc>
  <rcc rId="19408" sId="4" numFmtId="4">
    <nc r="J113">
      <v>5</v>
    </nc>
  </rcc>
  <rcc rId="19409" sId="4" numFmtId="4">
    <nc r="K113">
      <v>50</v>
    </nc>
  </rcc>
  <rcc rId="19410" sId="4" numFmtId="4">
    <oc r="J114">
      <v>41</v>
    </oc>
    <nc r="J114">
      <v>21</v>
    </nc>
  </rcc>
  <rcc rId="19411" sId="4" numFmtId="4">
    <oc r="K114">
      <v>290</v>
    </oc>
    <nc r="K114">
      <f>5+5+13.5+7.3+1.1+6+7+7+7+9+5</f>
    </nc>
  </rcc>
  <rcc rId="19412" sId="4" numFmtId="4">
    <nc r="J115">
      <v>14</v>
    </nc>
  </rcc>
  <rcc rId="19413" sId="4" numFmtId="4">
    <nc r="K115">
      <v>110</v>
    </nc>
  </rcc>
  <rcc rId="19414" sId="4" numFmtId="4">
    <nc r="J116">
      <v>2</v>
    </nc>
  </rcc>
  <rcc rId="19415" sId="4">
    <nc r="K116">
      <f>8+10</f>
    </nc>
  </rcc>
  <rcc rId="19416" sId="4" numFmtId="4">
    <oc r="J104">
      <v>22</v>
    </oc>
    <nc r="J104">
      <v>27</v>
    </nc>
  </rcc>
  <rcc rId="19417" sId="4" numFmtId="4">
    <oc r="K104">
      <v>154</v>
    </oc>
    <nc r="K104">
      <v>292</v>
    </nc>
  </rcc>
  <rcc rId="19418" sId="4" numFmtId="4">
    <oc r="J105">
      <v>24</v>
    </oc>
    <nc r="J105">
      <v>17</v>
    </nc>
  </rcc>
  <rcc rId="19419" sId="4" numFmtId="4">
    <oc r="K105">
      <v>140</v>
    </oc>
    <nc r="K105">
      <f>45+10+5+10+4+10+15+8+8+69+20</f>
    </nc>
  </rcc>
  <rcc rId="19420" sId="4" numFmtId="4">
    <oc r="J106">
      <v>35</v>
    </oc>
    <nc r="J106">
      <v>7</v>
    </nc>
  </rcc>
  <rcc rId="19421" sId="4" numFmtId="4">
    <oc r="K106">
      <v>180</v>
    </oc>
    <nc r="K106">
      <f>7+14.5+7+10+26</f>
    </nc>
  </rcc>
  <rcc rId="19422" sId="4" numFmtId="4">
    <oc r="J107">
      <v>15</v>
    </oc>
    <nc r="J107">
      <v>11</v>
    </nc>
  </rcc>
  <rcc rId="19423" sId="4" numFmtId="4">
    <oc r="K107">
      <v>72</v>
    </oc>
    <nc r="K107">
      <f>10+5+10+5+10+4+13+28</f>
    </nc>
  </rcc>
  <rcc rId="19424" sId="4" numFmtId="4">
    <oc r="J108">
      <v>2</v>
    </oc>
    <nc r="J108">
      <v>40</v>
    </nc>
  </rcc>
  <rcc rId="19425" sId="4" numFmtId="4">
    <oc r="K108">
      <f>5+10</f>
    </oc>
    <nc r="K108">
      <v>375</v>
    </nc>
  </rcc>
  <rcc rId="19426" sId="4" numFmtId="4">
    <oc r="J101">
      <v>15</v>
    </oc>
    <nc r="J101">
      <v>65</v>
    </nc>
  </rcc>
  <rcc rId="19427" sId="4" numFmtId="4">
    <oc r="K101">
      <v>56</v>
    </oc>
    <nc r="K101">
      <v>700</v>
    </nc>
  </rcc>
  <rcc rId="19428" sId="4" numFmtId="4">
    <oc r="J102">
      <v>18</v>
    </oc>
    <nc r="J102">
      <v>38</v>
    </nc>
  </rcc>
  <rcc rId="19429" sId="4" numFmtId="4">
    <oc r="K102">
      <v>80</v>
    </oc>
    <nc r="K102">
      <v>520</v>
    </nc>
  </rcc>
  <rcc rId="19430" sId="4" numFmtId="4">
    <nc r="J79">
      <v>1</v>
    </nc>
  </rcc>
  <rcc rId="19431" sId="4" numFmtId="4">
    <nc r="K79">
      <v>5</v>
    </nc>
  </rcc>
  <rcc rId="19432" sId="4" numFmtId="4">
    <nc r="J80">
      <v>8</v>
    </nc>
  </rcc>
  <rcc rId="19433" sId="4">
    <nc r="K80">
      <f>100+5+5+10</f>
    </nc>
  </rcc>
  <rcc rId="19434" sId="4" numFmtId="4">
    <nc r="J81">
      <v>6</v>
    </nc>
  </rcc>
  <rcc rId="19435" sId="4">
    <nc r="K81">
      <f>5+15+5+10+5+5</f>
    </nc>
  </rcc>
  <rcc rId="19436" sId="4" numFmtId="4">
    <oc r="K82">
      <v>4</v>
    </oc>
    <nc r="K82">
      <f>4</f>
    </nc>
  </rcc>
  <rcc rId="19437" sId="4" numFmtId="4">
    <nc r="J83">
      <v>8</v>
    </nc>
  </rcc>
  <rcc rId="19438" sId="4" numFmtId="4">
    <nc r="K83">
      <v>44</v>
    </nc>
  </rcc>
  <rcc rId="19439" sId="4" numFmtId="4">
    <nc r="J84">
      <v>1</v>
    </nc>
  </rcc>
  <rcc rId="19440" sId="4" numFmtId="4">
    <nc r="K84">
      <v>5</v>
    </nc>
  </rcc>
  <rcc rId="19441" sId="4" numFmtId="4">
    <nc r="J85">
      <v>3</v>
    </nc>
  </rcc>
  <rcc rId="19442" sId="4" numFmtId="4">
    <nc r="K85">
      <v>30</v>
    </nc>
  </rcc>
  <rcc rId="19443" sId="4" numFmtId="4">
    <nc r="J86">
      <v>3</v>
    </nc>
  </rcc>
  <rcc rId="19444" sId="4" numFmtId="4">
    <nc r="K86">
      <v>20</v>
    </nc>
  </rcc>
  <rcc rId="19445" sId="4" numFmtId="4">
    <nc r="J87">
      <v>3</v>
    </nc>
  </rcc>
  <rcc rId="19446" sId="4" numFmtId="4">
    <nc r="K87">
      <v>21</v>
    </nc>
  </rcc>
  <rcc rId="19447" sId="4" numFmtId="4">
    <nc r="J88">
      <v>1</v>
    </nc>
  </rcc>
  <rcc rId="19448" sId="4" numFmtId="4">
    <nc r="K88">
      <v>10</v>
    </nc>
  </rcc>
  <rcc rId="19449" sId="4" numFmtId="4">
    <nc r="J90">
      <v>17</v>
    </nc>
  </rcc>
  <rcc rId="19450" sId="4" numFmtId="4">
    <nc r="K90">
      <v>180</v>
    </nc>
  </rcc>
  <rcc rId="19451" sId="4" numFmtId="4">
    <nc r="J94">
      <v>6</v>
    </nc>
  </rcc>
  <rcc rId="19452" sId="4">
    <nc r="K94">
      <f>6+15+8+10+8+15</f>
    </nc>
  </rcc>
  <rcc rId="19453" sId="4" numFmtId="4">
    <nc r="J95">
      <v>1</v>
    </nc>
  </rcc>
  <rcc rId="19454" sId="4" numFmtId="4">
    <nc r="K95">
      <v>10</v>
    </nc>
  </rcc>
  <rcc rId="19455" sId="4" numFmtId="4">
    <oc r="J96">
      <v>1</v>
    </oc>
    <nc r="J96">
      <v>5</v>
    </nc>
  </rcc>
  <rcc rId="19456" sId="4" numFmtId="4">
    <oc r="K96">
      <v>6</v>
    </oc>
    <nc r="K96">
      <v>28</v>
    </nc>
  </rcc>
  <rcc rId="19457" sId="4" numFmtId="4">
    <nc r="J97">
      <v>3</v>
    </nc>
  </rcc>
  <rcc rId="19458" sId="4" numFmtId="4">
    <nc r="K97">
      <v>11</v>
    </nc>
  </rcc>
  <rcc rId="19459" sId="4" numFmtId="4">
    <nc r="J76">
      <v>4</v>
    </nc>
  </rcc>
  <rcc rId="19460" sId="4" numFmtId="4">
    <nc r="K76">
      <v>31</v>
    </nc>
  </rcc>
  <rcc rId="19461" sId="4" numFmtId="4">
    <nc r="J77">
      <v>1</v>
    </nc>
  </rcc>
  <rcc rId="19462" sId="4" numFmtId="4">
    <nc r="K77">
      <v>7</v>
    </nc>
  </rcc>
  <rcc rId="19463" sId="4" numFmtId="4">
    <oc r="J67">
      <v>34</v>
    </oc>
    <nc r="J67">
      <v>10</v>
    </nc>
  </rcc>
  <rcc rId="19464" sId="4" numFmtId="4">
    <oc r="K67">
      <v>214</v>
    </oc>
    <nc r="K67">
      <v>116</v>
    </nc>
  </rcc>
  <rcc rId="19465" sId="4" numFmtId="4">
    <nc r="J68">
      <v>1</v>
    </nc>
  </rcc>
  <rcc rId="19466" sId="4" numFmtId="4">
    <nc r="K68">
      <v>10</v>
    </nc>
  </rcc>
  <rcc rId="19467" sId="4" numFmtId="4">
    <nc r="J70">
      <v>3</v>
    </nc>
  </rcc>
  <rcc rId="19468" sId="4" numFmtId="4">
    <nc r="K70">
      <v>15</v>
    </nc>
  </rcc>
  <rcc rId="19469" sId="4" numFmtId="4">
    <nc r="J71">
      <v>20</v>
    </nc>
  </rcc>
  <rcc rId="19470" sId="4" numFmtId="4">
    <nc r="K71">
      <v>122</v>
    </nc>
  </rcc>
  <rcc rId="19471" sId="4" numFmtId="4">
    <nc r="J69">
      <v>15</v>
    </nc>
  </rcc>
  <rcc rId="19472" sId="4" numFmtId="4">
    <nc r="K69">
      <v>120</v>
    </nc>
  </rcc>
  <rcc rId="19473" sId="4" numFmtId="4">
    <oc r="K39">
      <v>141</v>
    </oc>
    <nc r="K39">
      <v>100</v>
    </nc>
  </rcc>
  <rcc rId="19474" sId="4" numFmtId="4">
    <nc r="J169">
      <v>2</v>
    </nc>
  </rcc>
  <rcc rId="19475" sId="4">
    <nc r="K169">
      <f>10+6</f>
    </nc>
  </rcc>
  <rcc rId="19476" sId="4" odxf="1" dxf="1">
    <nc r="J170">
      <v>18</v>
    </nc>
    <odxf/>
    <ndxf/>
  </rcc>
  <rcc rId="19477" sId="4" odxf="1" dxf="1">
    <nc r="K170">
      <v>120</v>
    </nc>
    <odxf/>
    <ndxf/>
  </rcc>
  <rcc rId="19478" sId="4" numFmtId="4">
    <nc r="J165">
      <v>8</v>
    </nc>
  </rcc>
  <rcc rId="19479" sId="4" numFmtId="4">
    <nc r="K165">
      <v>65</v>
    </nc>
  </rcc>
  <rcc rId="19480" sId="4" numFmtId="4">
    <nc r="J164">
      <v>2</v>
    </nc>
  </rcc>
  <rcc rId="19481" sId="4" numFmtId="4">
    <nc r="K164">
      <v>11</v>
    </nc>
  </rcc>
  <rcc rId="19482" sId="4" numFmtId="4">
    <oc r="J21">
      <v>26</v>
    </oc>
    <nc r="J21">
      <v>28</v>
    </nc>
  </rcc>
  <rcc rId="19483" sId="4" numFmtId="4">
    <oc r="J22">
      <v>15</v>
    </oc>
    <nc r="J22">
      <v>20</v>
    </nc>
  </rcc>
  <rcc rId="19484" sId="4" numFmtId="4">
    <nc r="J24">
      <v>5</v>
    </nc>
  </rcc>
  <rcc rId="19485" sId="4" numFmtId="4">
    <nc r="K24">
      <v>20</v>
    </nc>
  </rcc>
  <rcc rId="19486" sId="4" numFmtId="4">
    <oc r="K21">
      <v>235</v>
    </oc>
    <nc r="K21">
      <v>200</v>
    </nc>
  </rcc>
  <rcc rId="19487" sId="4" numFmtId="4">
    <oc r="K27">
      <v>302</v>
    </oc>
    <nc r="K27">
      <v>285</v>
    </nc>
  </rcc>
  <rcc rId="19488" sId="4" numFmtId="4">
    <oc r="K30">
      <v>320</v>
    </oc>
    <nc r="K30">
      <v>200</v>
    </nc>
  </rcc>
  <rcc rId="19489" sId="4" numFmtId="4">
    <oc r="J31">
      <v>16</v>
    </oc>
    <nc r="J31">
      <v>35</v>
    </nc>
  </rcc>
  <rcc rId="19490" sId="4" numFmtId="4">
    <oc r="J30">
      <v>41</v>
    </oc>
    <nc r="J30">
      <v>25</v>
    </nc>
  </rcc>
  <rcc rId="19491" sId="4" numFmtId="4">
    <oc r="K31">
      <v>120</v>
    </oc>
    <nc r="K31">
      <v>210</v>
    </nc>
  </rcc>
  <rcc rId="19492" sId="4" numFmtId="4">
    <oc r="J32">
      <v>18</v>
    </oc>
    <nc r="J32">
      <v>49</v>
    </nc>
  </rcc>
  <rcc rId="19493" sId="4" numFmtId="4">
    <oc r="K32">
      <v>136</v>
    </oc>
    <nc r="K32">
      <v>465</v>
    </nc>
  </rcc>
  <rcc rId="19494" sId="4">
    <oc r="J33">
      <v>35</v>
    </oc>
    <nc r="J33">
      <v>69</v>
    </nc>
  </rcc>
  <rcc rId="19495" sId="4">
    <oc r="K33">
      <v>298</v>
    </oc>
    <nc r="K33">
      <v>390</v>
    </nc>
  </rcc>
  <rcc rId="19496" sId="4" numFmtId="4">
    <oc r="K37">
      <v>610</v>
    </oc>
    <nc r="K37">
      <v>460</v>
    </nc>
  </rcc>
  <rcc rId="19497" sId="4" numFmtId="4">
    <oc r="J37">
      <v>62</v>
    </oc>
    <nc r="J37">
      <v>79</v>
    </nc>
  </rcc>
  <rcc rId="19498" sId="4" numFmtId="4">
    <oc r="J36">
      <v>54</v>
    </oc>
    <nc r="J36">
      <v>81</v>
    </nc>
  </rcc>
  <rcc rId="19499" sId="4" numFmtId="4">
    <oc r="J43">
      <v>19</v>
    </oc>
    <nc r="J43">
      <v>9</v>
    </nc>
  </rcc>
  <rcc rId="19500" sId="4" odxf="1" dxf="1">
    <nc r="J46">
      <v>1</v>
    </nc>
    <odxf/>
    <ndxf/>
  </rcc>
  <rcc rId="19501" sId="4" odxf="1" dxf="1">
    <nc r="K46">
      <v>1.1000000000000001</v>
    </nc>
    <odxf/>
    <ndxf/>
  </rcc>
  <rcc rId="19502" sId="4" numFmtId="4">
    <oc r="J48">
      <v>42</v>
    </oc>
    <nc r="J48">
      <v>5</v>
    </nc>
  </rcc>
  <rcc rId="19503" sId="4" numFmtId="4">
    <oc r="K48">
      <v>302</v>
    </oc>
    <nc r="K48">
      <v>45</v>
    </nc>
  </rcc>
  <rcc rId="19504" sId="4" numFmtId="4">
    <nc r="J47">
      <v>15</v>
    </nc>
  </rcc>
  <rcc rId="19505" sId="4" numFmtId="4">
    <nc r="K47">
      <v>110</v>
    </nc>
  </rcc>
  <rcc rId="19506" sId="4" numFmtId="4">
    <oc r="J51">
      <v>46</v>
    </oc>
    <nc r="J51">
      <v>2</v>
    </nc>
  </rcc>
  <rcc rId="19507" sId="4" numFmtId="4">
    <oc r="K51">
      <v>364</v>
    </oc>
    <nc r="K51">
      <f>13+5</f>
    </nc>
  </rcc>
  <rcc rId="19508" sId="4" numFmtId="4">
    <nc r="J52">
      <v>2</v>
    </nc>
  </rcc>
  <rcc rId="19509" sId="4">
    <nc r="K52">
      <f>4+20</f>
    </nc>
  </rcc>
  <rcc rId="19510" sId="4" numFmtId="4">
    <oc r="J53">
      <v>28</v>
    </oc>
    <nc r="J53">
      <v>4</v>
    </nc>
  </rcc>
  <rcc rId="19511" sId="4" numFmtId="4">
    <oc r="K53">
      <v>180</v>
    </oc>
    <nc r="K53">
      <v>28</v>
    </nc>
  </rcc>
  <rcc rId="19512" sId="4" numFmtId="4">
    <oc r="J54">
      <v>16</v>
    </oc>
    <nc r="J54">
      <v>2</v>
    </nc>
  </rcc>
  <rcc rId="19513" sId="4" numFmtId="4">
    <oc r="K54">
      <v>78</v>
    </oc>
    <nc r="K54">
      <v>14</v>
    </nc>
  </rcc>
  <rcc rId="19514" sId="4" numFmtId="4">
    <oc r="J55">
      <v>2</v>
    </oc>
    <nc r="J55">
      <v>21</v>
    </nc>
  </rcc>
  <rcc rId="19515" sId="4" numFmtId="4">
    <oc r="K55">
      <f>10+10</f>
    </oc>
    <nc r="K55">
      <v>185</v>
    </nc>
  </rcc>
  <rcc rId="19516" sId="4" odxf="1" dxf="1">
    <oc r="J56">
      <v>1</v>
    </oc>
    <nc r="J56">
      <v>12</v>
    </nc>
    <odxf/>
    <ndxf/>
  </rcc>
  <rcc rId="19517" sId="4" odxf="1" dxf="1">
    <oc r="K56">
      <v>5</v>
    </oc>
    <nc r="K56">
      <v>150</v>
    </nc>
    <odxf/>
    <ndxf/>
  </rcc>
  <rcc rId="19518" sId="4" numFmtId="4">
    <oc r="J57">
      <v>34</v>
    </oc>
    <nc r="J57">
      <v>15</v>
    </nc>
  </rcc>
  <rcc rId="19519" sId="4" numFmtId="4">
    <oc r="K57">
      <v>245</v>
    </oc>
    <nc r="K57">
      <v>102</v>
    </nc>
  </rcc>
  <rcc rId="19520" sId="4" numFmtId="4">
    <nc r="J41">
      <v>9</v>
    </nc>
  </rcc>
  <rcc rId="19521" sId="4" numFmtId="4">
    <nc r="K41">
      <v>85</v>
    </nc>
  </rcc>
  <rcc rId="19522" sId="4" odxf="1" dxf="1">
    <nc r="J26">
      <v>5</v>
    </nc>
    <odxf/>
    <ndxf/>
  </rcc>
  <rcc rId="19523" sId="4" odxf="1" dxf="1">
    <nc r="K26">
      <v>20</v>
    </nc>
    <odxf/>
    <ndxf/>
  </rcc>
  <rcc rId="19524" sId="4" numFmtId="4">
    <oc r="J25">
      <v>50</v>
    </oc>
    <nc r="J25">
      <v>5</v>
    </nc>
  </rcc>
  <rcc rId="19525" sId="4" numFmtId="4">
    <oc r="K25">
      <v>390</v>
    </oc>
    <nc r="K25">
      <v>24</v>
    </nc>
  </rcc>
  <rcc rId="19526" sId="4" numFmtId="4">
    <oc r="K34">
      <v>14</v>
    </oc>
    <nc r="K34">
      <v>150</v>
    </nc>
  </rcc>
  <rcc rId="19527" sId="4" numFmtId="4">
    <oc r="J38">
      <v>12</v>
    </oc>
    <nc r="J38">
      <v>30</v>
    </nc>
  </rcc>
  <rcc rId="19528" sId="4" numFmtId="4">
    <oc r="K38">
      <v>120</v>
    </oc>
    <nc r="K38">
      <v>200</v>
    </nc>
  </rcc>
  <rcc rId="19529" sId="4" numFmtId="4">
    <oc r="J40">
      <v>18</v>
    </oc>
    <nc r="J40">
      <v>22</v>
    </nc>
  </rcc>
  <rcc rId="19530" sId="4" numFmtId="4">
    <oc r="K42">
      <v>12</v>
    </oc>
    <nc r="K42">
      <v>40</v>
    </nc>
  </rcc>
  <rcc rId="19531" sId="4" numFmtId="4">
    <oc r="K43">
      <v>175</v>
    </oc>
    <nc r="K43">
      <v>50</v>
    </nc>
  </rcc>
  <rcc rId="19532" sId="4" numFmtId="4">
    <oc r="J184">
      <v>27</v>
    </oc>
    <nc r="J184">
      <v>60</v>
    </nc>
  </rcc>
  <rcc rId="19533" sId="4" numFmtId="4">
    <oc r="J194">
      <v>13</v>
    </oc>
    <nc r="J194">
      <v>20</v>
    </nc>
  </rcc>
  <rcc rId="19534" sId="4" numFmtId="4">
    <oc r="J161">
      <v>6</v>
    </oc>
    <nc r="J161">
      <v>8</v>
    </nc>
  </rcc>
  <rcc rId="19535" sId="4" numFmtId="4">
    <nc r="J78">
      <v>6</v>
    </nc>
  </rcc>
  <rcc rId="19536" sId="4" numFmtId="4">
    <nc r="K78">
      <v>48</v>
    </nc>
  </rcc>
  <rcc rId="19537" sId="4" numFmtId="4">
    <nc r="J74">
      <v>10</v>
    </nc>
  </rcc>
  <rcc rId="19538" sId="4" numFmtId="4">
    <nc r="K74">
      <v>60</v>
    </nc>
  </rcc>
  <rcc rId="19539" sId="4" numFmtId="4">
    <nc r="J49">
      <v>5</v>
    </nc>
  </rcc>
  <rcc rId="19540" sId="4" numFmtId="4">
    <nc r="K49">
      <v>30</v>
    </nc>
  </rcc>
  <rcc rId="19541" sId="4" numFmtId="4">
    <nc r="J60">
      <v>15</v>
    </nc>
  </rcc>
  <rcc rId="19542" sId="4" numFmtId="4">
    <nc r="K60">
      <v>105</v>
    </nc>
  </rcc>
  <rcc rId="19543" sId="4" numFmtId="4">
    <nc r="J72">
      <v>1</v>
    </nc>
  </rcc>
  <rcc rId="19544" sId="4" numFmtId="4">
    <nc r="K72">
      <v>6</v>
    </nc>
  </rcc>
  <rcc rId="19545" sId="4" numFmtId="4">
    <oc r="J34">
      <v>2</v>
    </oc>
    <nc r="J34">
      <v>22</v>
    </nc>
  </rcc>
  <rcc rId="19546" sId="4" numFmtId="4">
    <nc r="J93">
      <v>5</v>
    </nc>
  </rcc>
  <rcc rId="19547" sId="4" numFmtId="4">
    <nc r="K93">
      <v>25</v>
    </nc>
  </rcc>
  <rcc rId="19548" sId="4" numFmtId="4">
    <oc r="K103">
      <v>160</v>
    </oc>
    <nc r="K103">
      <v>130</v>
    </nc>
  </rcc>
  <rcc rId="19549" sId="4" numFmtId="4">
    <nc r="K175">
      <v>140</v>
    </nc>
  </rcc>
  <rcc rId="19550" sId="4" numFmtId="4">
    <oc r="K167">
      <v>46</v>
    </oc>
    <nc r="K167">
      <v>40</v>
    </nc>
  </rcc>
  <rcc rId="19551" sId="4" numFmtId="4">
    <nc r="J168">
      <v>4</v>
    </nc>
  </rcc>
  <rcc rId="19552" sId="4" numFmtId="4">
    <nc r="K168">
      <v>15</v>
    </nc>
  </rcc>
  <rcc rId="19553" sId="4" numFmtId="4">
    <oc r="J152">
      <v>24</v>
    </oc>
    <nc r="J152">
      <v>35</v>
    </nc>
  </rcc>
  <rcc rId="19554" sId="4" numFmtId="4">
    <oc r="J153">
      <v>12</v>
    </oc>
    <nc r="J153">
      <v>20</v>
    </nc>
  </rcc>
  <rcc rId="19555" sId="4" numFmtId="4">
    <oc r="K153">
      <v>96</v>
    </oc>
    <nc r="K153">
      <v>87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9.xml><?xml version="1.0" encoding="utf-8"?>
<revisions xmlns="http://schemas.openxmlformats.org/spreadsheetml/2006/main" xmlns:r="http://schemas.openxmlformats.org/officeDocument/2006/relationships">
  <rcc rId="17947" sId="4" numFmtId="4">
    <nc r="D224">
      <v>17</v>
    </nc>
  </rcc>
  <rcc rId="17948" sId="4" numFmtId="4">
    <nc r="E224">
      <v>159</v>
    </nc>
  </rcc>
  <rcc rId="17949" sId="4" numFmtId="4">
    <nc r="F224">
      <v>17</v>
    </nc>
  </rcc>
  <rcc rId="17950" sId="4" numFmtId="4">
    <nc r="G224">
      <v>159</v>
    </nc>
  </rcc>
  <rcc rId="17951" sId="3" numFmtId="4">
    <nc r="D227">
      <v>1</v>
    </nc>
  </rcc>
  <rcc rId="17952" sId="3" numFmtId="4">
    <nc r="E227">
      <v>100</v>
    </nc>
  </rcc>
  <rcc rId="17953" sId="3" numFmtId="4">
    <nc r="F227">
      <v>1</v>
    </nc>
  </rcc>
  <rcc rId="17954" sId="3" numFmtId="4">
    <nc r="G227">
      <v>100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0.xml><?xml version="1.0" encoding="utf-8"?>
<revisions xmlns="http://schemas.openxmlformats.org/spreadsheetml/2006/main" xmlns:r="http://schemas.openxmlformats.org/officeDocument/2006/relationships">
  <rcc rId="18897" sId="9">
    <nc r="M11">
      <v>7</v>
    </nc>
  </rcc>
  <rcc rId="18898" sId="9">
    <nc r="M12">
      <f>101+173</f>
    </nc>
  </rcc>
  <rcc rId="18899" sId="9">
    <nc r="N11">
      <f>SUM(B11:M11)</f>
    </nc>
  </rcc>
  <rcc rId="18900" sId="9">
    <nc r="N12">
      <f>SUM(B12:M12)</f>
    </nc>
  </rcc>
  <rcc rId="18901" sId="9">
    <nc r="M9">
      <f>108+173</f>
    </nc>
  </rcc>
  <rcc rId="18902" sId="9">
    <nc r="N9">
      <f>SUM(B9:M9)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.xml><?xml version="1.0" encoding="utf-8"?>
<revisions xmlns="http://schemas.openxmlformats.org/spreadsheetml/2006/main" xmlns:r="http://schemas.openxmlformats.org/officeDocument/2006/relationships">
  <rcc rId="18211" sId="3" numFmtId="4">
    <oc r="D68">
      <v>2</v>
    </oc>
    <nc r="D68">
      <v>3</v>
    </nc>
  </rcc>
  <rcc rId="18212" sId="3" numFmtId="4">
    <oc r="E68">
      <f>65+155</f>
    </oc>
    <nc r="E68">
      <v>300</v>
    </nc>
  </rcc>
  <rcc rId="18213" sId="3" numFmtId="4">
    <oc r="F68">
      <v>2</v>
    </oc>
    <nc r="F68">
      <v>3</v>
    </nc>
  </rcc>
  <rcc rId="18214" sId="3" numFmtId="4">
    <oc r="G68">
      <v>20</v>
    </oc>
    <nc r="G68">
      <v>300</v>
    </nc>
  </rcc>
  <rcc rId="18215" sId="3" numFmtId="4">
    <oc r="D208">
      <v>11</v>
    </oc>
    <nc r="D208">
      <v>13</v>
    </nc>
  </rcc>
  <rcc rId="18216" sId="3" numFmtId="4">
    <oc r="E208">
      <v>3789</v>
    </oc>
    <nc r="E208">
      <f>3789+40</f>
    </nc>
  </rcc>
  <rcc rId="18217" sId="3" numFmtId="4">
    <oc r="F208">
      <v>1</v>
    </oc>
    <nc r="F208">
      <v>6</v>
    </nc>
  </rcc>
  <rcc rId="18218" sId="3" numFmtId="4">
    <oc r="G208">
      <v>54</v>
    </oc>
    <nc r="G208">
      <v>870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.xml><?xml version="1.0" encoding="utf-8"?>
<revisions xmlns="http://schemas.openxmlformats.org/spreadsheetml/2006/main" xmlns:r="http://schemas.openxmlformats.org/officeDocument/2006/relationships">
  <rcc rId="18502" sId="3">
    <oc r="D150">
      <v>9</v>
    </oc>
    <nc r="D150">
      <v>10</v>
    </nc>
  </rcc>
  <rcc rId="18503" sId="3">
    <oc r="E150">
      <v>270</v>
    </oc>
    <nc r="E150">
      <v>299.25</v>
    </nc>
  </rcc>
  <rcc rId="18504" sId="3" numFmtId="4">
    <nc r="D198">
      <v>1</v>
    </nc>
  </rcc>
  <rcc rId="18505" sId="3" numFmtId="4">
    <nc r="E198">
      <v>29.25</v>
    </nc>
  </rcc>
  <rcc rId="18506" sId="3" numFmtId="4">
    <nc r="F198">
      <v>1</v>
    </nc>
  </rcc>
  <rcc rId="18507" sId="3" numFmtId="4">
    <nc r="G198">
      <v>29.25</v>
    </nc>
  </rcc>
  <rcc rId="18508" sId="4" numFmtId="4">
    <oc r="D195">
      <v>5</v>
    </oc>
    <nc r="D195">
      <v>16</v>
    </nc>
  </rcc>
  <rcc rId="18509" sId="4" numFmtId="4">
    <oc r="E195">
      <v>20</v>
    </oc>
    <nc r="E195">
      <v>75</v>
    </nc>
  </rcc>
  <rcc rId="18510" sId="4" numFmtId="4">
    <oc r="F195">
      <v>4</v>
    </oc>
    <nc r="F195">
      <v>11</v>
    </nc>
  </rcc>
  <rcc rId="18511" sId="4" numFmtId="4">
    <oc r="G195">
      <v>20</v>
    </oc>
    <nc r="G195">
      <v>75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4.xml><?xml version="1.0" encoding="utf-8"?>
<revisions xmlns="http://schemas.openxmlformats.org/spreadsheetml/2006/main" xmlns:r="http://schemas.openxmlformats.org/officeDocument/2006/relationships">
  <rcc rId="18401" sId="4" numFmtId="4">
    <oc r="D40">
      <v>28</v>
    </oc>
    <nc r="D40">
      <v>31</v>
    </nc>
  </rcc>
  <rcc rId="18402" sId="4">
    <oc r="E40">
      <f>10+10+5+11+10+120+19</f>
    </oc>
    <nc r="E40">
      <f>10+10+5+11+10+120+19+20</f>
    </nc>
  </rcc>
  <rcc rId="18403" sId="3" numFmtId="4">
    <oc r="D93">
      <v>3</v>
    </oc>
    <nc r="D93">
      <v>5</v>
    </nc>
  </rcc>
  <rcc rId="18404" sId="3" numFmtId="4">
    <oc r="E93">
      <v>225</v>
    </oc>
    <nc r="E93">
      <v>350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5.xml><?xml version="1.0" encoding="utf-8"?>
<revisions xmlns="http://schemas.openxmlformats.org/spreadsheetml/2006/main" xmlns:r="http://schemas.openxmlformats.org/officeDocument/2006/relationships">
  <rcc rId="18467" sId="3" numFmtId="4">
    <oc r="G160">
      <v>20</v>
    </oc>
    <nc r="G160">
      <v>90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6.xml><?xml version="1.0" encoding="utf-8"?>
<revisions xmlns="http://schemas.openxmlformats.org/spreadsheetml/2006/main" xmlns:r="http://schemas.openxmlformats.org/officeDocument/2006/relationships">
  <rcc rId="18187" sId="4" numFmtId="4">
    <oc r="D177">
      <v>10</v>
    </oc>
    <nc r="D177">
      <v>2</v>
    </nc>
  </rcc>
  <rcc rId="18188" sId="4" numFmtId="4">
    <oc r="E177">
      <v>135</v>
    </oc>
    <nc r="E177">
      <v>30</v>
    </nc>
  </rcc>
  <rcc rId="18189" sId="4" numFmtId="4">
    <oc r="F177">
      <v>10</v>
    </oc>
    <nc r="F177">
      <v>2</v>
    </nc>
  </rcc>
  <rcc rId="18190" sId="4" numFmtId="4">
    <oc r="G177">
      <v>135</v>
    </oc>
    <nc r="G177">
      <v>30</v>
    </nc>
  </rcc>
  <rcc rId="18191" sId="4" numFmtId="4">
    <oc r="D212">
      <v>2</v>
    </oc>
    <nc r="D212">
      <v>11</v>
    </nc>
  </rcc>
  <rcc rId="18192" sId="4" numFmtId="4">
    <oc r="E212">
      <v>6</v>
    </oc>
    <nc r="E212">
      <v>126</v>
    </nc>
  </rcc>
  <rcc rId="18193" sId="4" numFmtId="4">
    <nc r="F212">
      <v>11</v>
    </nc>
  </rcc>
  <rcc rId="18194" sId="4" numFmtId="4">
    <nc r="G212">
      <v>126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7.xml><?xml version="1.0" encoding="utf-8"?>
<revisions xmlns="http://schemas.openxmlformats.org/spreadsheetml/2006/main" xmlns:r="http://schemas.openxmlformats.org/officeDocument/2006/relationships">
  <rcc rId="18225" sId="3" numFmtId="4">
    <oc r="G208">
      <v>870</v>
    </oc>
    <nc r="G208">
      <v>945</v>
    </nc>
  </rcc>
  <rcc rId="18226" sId="4" numFmtId="4">
    <oc r="D205">
      <v>38</v>
    </oc>
    <nc r="D205">
      <v>41</v>
    </nc>
  </rcc>
  <rcc rId="18227" sId="4" numFmtId="4">
    <oc r="E205">
      <v>315</v>
    </oc>
    <nc r="E205">
      <v>340</v>
    </nc>
  </rcc>
  <rcc rId="18228" sId="4" numFmtId="4">
    <oc r="F205">
      <v>18</v>
    </oc>
    <nc r="F205">
      <v>32</v>
    </nc>
  </rcc>
  <rcc rId="18229" sId="4" numFmtId="4">
    <oc r="G205">
      <v>88</v>
    </oc>
    <nc r="G205">
      <v>268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8.xml><?xml version="1.0" encoding="utf-8"?>
<revisions xmlns="http://schemas.openxmlformats.org/spreadsheetml/2006/main" xmlns:r="http://schemas.openxmlformats.org/officeDocument/2006/relationships">
  <rcc rId="18328" sId="3" numFmtId="4">
    <oc r="D179">
      <v>1</v>
    </oc>
    <nc r="D179">
      <v>2</v>
    </nc>
  </rcc>
  <rcc rId="18329" sId="3" numFmtId="4">
    <oc r="E179">
      <v>10</v>
    </oc>
    <nc r="E179">
      <v>110</v>
    </nc>
  </rcc>
  <rcc rId="18330" sId="3" numFmtId="4">
    <oc r="F179">
      <v>1</v>
    </oc>
    <nc r="F179">
      <v>2</v>
    </nc>
  </rcc>
  <rcc rId="18331" sId="3" numFmtId="4">
    <oc r="G179">
      <v>10</v>
    </oc>
    <nc r="G179">
      <v>110</v>
    </nc>
  </rcc>
  <rcc rId="18332" sId="4">
    <oc r="D33">
      <v>57</v>
    </oc>
    <nc r="D33">
      <v>70</v>
    </nc>
  </rcc>
  <rcc rId="18333" sId="4">
    <oc r="E33">
      <v>540</v>
    </oc>
    <nc r="E33">
      <f>540+147</f>
    </nc>
  </rcc>
  <rcc rId="18334" sId="4">
    <oc r="F33">
      <v>57</v>
    </oc>
    <nc r="F33">
      <v>70</v>
    </nc>
  </rcc>
  <rcc rId="18335" sId="4">
    <oc r="G33">
      <v>540</v>
    </oc>
    <nc r="G33">
      <v>687</v>
    </nc>
  </rcc>
  <rcc rId="18336" sId="4" numFmtId="4">
    <nc r="D230">
      <v>9</v>
    </nc>
  </rcc>
  <rcc rId="18337" sId="4" numFmtId="4">
    <nc r="E230">
      <v>90</v>
    </nc>
  </rcc>
  <rcc rId="18338" sId="4" numFmtId="4">
    <nc r="F230">
      <v>9</v>
    </nc>
  </rcc>
  <rcc rId="18339" sId="4" numFmtId="4">
    <nc r="G230">
      <v>90</v>
    </nc>
  </rcc>
  <rcc rId="18340" sId="4" numFmtId="4">
    <oc r="D63">
      <v>68</v>
    </oc>
    <nc r="D63">
      <v>77</v>
    </nc>
  </rcc>
  <rcc rId="18341" sId="4">
    <oc r="E63">
      <f>10+7+12+8+15+15+4+12+8+8+7+12+7+15+6+6+8+7+5+15+10+3+15+10+10+5+5+15+5+20+14+15+15+10+15+10+15+3+6+6+8+6+3+10+8+15+25+6+5+15+10+25+15+15+15+25+10+10+7+10+8+10+3+7+7+10+5+3</f>
    </oc>
    <nc r="E63">
      <f>10+7+12+8+15+15+4+12+8+8+7+12+7+15+6+6+8+7+5+15+10+3+15+10+10+5+5+15+5+20+14+15+15+10+15+10+15+3+6+6+8+6+3+10+8+15+25+6+5+15+10+25+15+15+15+25+10+10+7+10+8+10+3+7+7+10+5+3+105</f>
    </nc>
  </rcc>
  <rcc rId="18342" sId="4" numFmtId="4">
    <oc r="F63">
      <v>67</v>
    </oc>
    <nc r="F63">
      <v>77</v>
    </nc>
  </rcc>
  <rcc rId="18343" sId="4" numFmtId="4">
    <oc r="G63">
      <v>540</v>
    </oc>
    <nc r="G63">
      <v>795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.xml><?xml version="1.0" encoding="utf-8"?>
<revisions xmlns="http://schemas.openxmlformats.org/spreadsheetml/2006/main" xmlns:r="http://schemas.openxmlformats.org/officeDocument/2006/relationships">
  <rcc rId="18449" sId="3" numFmtId="4">
    <oc r="D156">
      <v>24</v>
    </oc>
    <nc r="D156">
      <v>25</v>
    </nc>
  </rcc>
  <rcc rId="18450" sId="3">
    <oc r="E156">
      <f>1830+500+300</f>
    </oc>
    <nc r="E156">
      <f>1830+500+300+29.25</f>
    </nc>
  </rcc>
  <rcc rId="18451" sId="3" numFmtId="4">
    <oc r="F156">
      <v>19</v>
    </oc>
    <nc r="F156">
      <v>20</v>
    </nc>
  </rcc>
  <rcc rId="18452" sId="3" numFmtId="4">
    <oc r="G156">
      <v>720</v>
    </oc>
    <nc r="G156">
      <v>7249.25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0.xml><?xml version="1.0" encoding="utf-8"?>
<revisions xmlns="http://schemas.openxmlformats.org/spreadsheetml/2006/main" xmlns:r="http://schemas.openxmlformats.org/officeDocument/2006/relationships">
  <rcc rId="18266" sId="4" numFmtId="4">
    <oc r="D45">
      <v>28</v>
    </oc>
    <nc r="D45">
      <v>32</v>
    </nc>
  </rcc>
  <rcc rId="18267" sId="4" numFmtId="4">
    <oc r="E45">
      <v>300</v>
    </oc>
    <nc r="E45">
      <v>337</v>
    </nc>
  </rcc>
  <rcc rId="18268" sId="4" numFmtId="4">
    <oc r="F45">
      <v>22</v>
    </oc>
    <nc r="F45">
      <v>32</v>
    </nc>
  </rcc>
  <rcc rId="18269" sId="4" numFmtId="4">
    <oc r="G45">
      <v>200</v>
    </oc>
    <nc r="G45">
      <v>337</v>
    </nc>
  </rcc>
  <rcc rId="18270" sId="3">
    <oc r="D29">
      <v>1</v>
    </oc>
    <nc r="D29">
      <v>2</v>
    </nc>
  </rcc>
  <rcc rId="18271" sId="3">
    <oc r="E29">
      <v>30</v>
    </oc>
    <nc r="E29">
      <v>120</v>
    </nc>
  </rcc>
  <rcc rId="18272" sId="3">
    <oc r="F29">
      <v>1</v>
    </oc>
    <nc r="F29">
      <v>2</v>
    </nc>
  </rcc>
  <rcc rId="18273" sId="3">
    <oc r="G29">
      <v>30</v>
    </oc>
    <nc r="G29">
      <v>120</v>
    </nc>
  </rcc>
  <rcc rId="18274" sId="4" numFmtId="4">
    <oc r="E120">
      <f>3+5+7+15</f>
    </oc>
    <nc r="E120">
      <v>50</v>
    </nc>
  </rcc>
  <rcc rId="18275" sId="4" numFmtId="4">
    <oc r="D120">
      <v>4</v>
    </oc>
    <nc r="D120">
      <v>11</v>
    </nc>
  </rcc>
  <rcc rId="18276" sId="4" numFmtId="4">
    <oc r="F120">
      <v>4</v>
    </oc>
    <nc r="F120">
      <v>11</v>
    </nc>
  </rcc>
  <rcc rId="18277" sId="4" numFmtId="4">
    <oc r="G120">
      <f>3+5+7+15</f>
    </oc>
    <nc r="G120">
      <v>50</v>
    </nc>
  </rcc>
  <rcc rId="18278" sId="4" numFmtId="4">
    <oc r="D122">
      <v>5</v>
    </oc>
    <nc r="D122">
      <v>10</v>
    </nc>
  </rcc>
  <rcc rId="18279" sId="4">
    <oc r="E122">
      <f>8+10+1.8+14+8</f>
    </oc>
    <nc r="E122">
      <f>8+10+1.8+14+8+24</f>
    </nc>
  </rcc>
  <rcc rId="18280" sId="4" numFmtId="4">
    <oc r="F122">
      <v>5</v>
    </oc>
    <nc r="F122">
      <v>10</v>
    </nc>
  </rcc>
  <rcc rId="18281" sId="4" numFmtId="4">
    <oc r="G122">
      <v>41.8</v>
    </oc>
    <nc r="G122">
      <v>65.8</v>
    </nc>
  </rcc>
  <rcc rId="18282" sId="4" numFmtId="4">
    <oc r="D220">
      <v>3</v>
    </oc>
    <nc r="D220">
      <v>6</v>
    </nc>
  </rcc>
  <rcc rId="18283" sId="4" numFmtId="4">
    <oc r="E220">
      <v>21</v>
    </oc>
    <nc r="E220">
      <v>41</v>
    </nc>
  </rcc>
  <rcc rId="18284" sId="4" numFmtId="4">
    <nc r="F220">
      <v>6</v>
    </nc>
  </rcc>
  <rcc rId="18285" sId="4" numFmtId="4">
    <nc r="G220">
      <v>41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18588" sId="4" numFmtId="4">
    <oc r="D55">
      <v>18</v>
    </oc>
    <nc r="D55">
      <v>21</v>
    </nc>
  </rcc>
  <rcc rId="18589" sId="4" numFmtId="4">
    <oc r="E55">
      <v>170</v>
    </oc>
    <nc r="E55">
      <v>185</v>
    </nc>
  </rcc>
  <rcc rId="18590" sId="3" numFmtId="4">
    <nc r="D142">
      <v>1</v>
    </nc>
  </rcc>
  <rcc rId="18591" sId="3" numFmtId="4">
    <nc r="E142">
      <v>29.25</v>
    </nc>
  </rcc>
  <rcc rId="18592" sId="3" numFmtId="4">
    <oc r="D211">
      <v>4</v>
    </oc>
    <nc r="D211">
      <v>5</v>
    </nc>
  </rcc>
  <rcc rId="18593" sId="3" numFmtId="4">
    <oc r="E211">
      <v>100</v>
    </oc>
    <nc r="E211">
      <v>129.25</v>
    </nc>
  </rcc>
  <rcc rId="18594" sId="3">
    <nc r="D138">
      <v>1</v>
    </nc>
  </rcc>
  <rcc rId="18595" sId="3">
    <nc r="E138">
      <v>29.25</v>
    </nc>
  </rcc>
  <rcc rId="18596" sId="4">
    <nc r="D135">
      <v>3</v>
    </nc>
  </rcc>
  <rcc rId="18597" sId="4">
    <nc r="E135">
      <v>32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2.xml><?xml version="1.0" encoding="utf-8"?>
<revisions xmlns="http://schemas.openxmlformats.org/spreadsheetml/2006/main" xmlns:r="http://schemas.openxmlformats.org/officeDocument/2006/relationships">
  <rcc rId="18474" sId="3" numFmtId="4">
    <nc r="D146">
      <v>1</v>
    </nc>
  </rcc>
  <rcc rId="18475" sId="3" numFmtId="4">
    <nc r="E146">
      <v>100</v>
    </nc>
  </rcc>
  <rcc rId="18476" sId="3" numFmtId="4">
    <nc r="F146">
      <v>1</v>
    </nc>
  </rcc>
  <rcc rId="18477" sId="3" numFmtId="4">
    <nc r="G146">
      <v>100</v>
    </nc>
  </rcc>
  <rcc rId="18478" sId="3" numFmtId="4">
    <nc r="D175">
      <v>1</v>
    </nc>
  </rcc>
  <rcc rId="18479" sId="3" numFmtId="4">
    <nc r="E175">
      <v>40</v>
    </nc>
  </rcc>
  <rcc rId="18480" sId="4" numFmtId="4">
    <oc r="D179">
      <v>6</v>
    </oc>
    <nc r="D179">
      <v>9</v>
    </nc>
  </rcc>
  <rcc rId="18481" sId="4">
    <oc r="E179">
      <f>15+12+9</f>
    </oc>
    <nc r="E179">
      <f>15+12+9+26</f>
    </nc>
  </rcc>
  <rcc rId="18482" sId="4" numFmtId="4">
    <oc r="F179">
      <v>3</v>
    </oc>
    <nc r="F179">
      <v>9</v>
    </nc>
  </rcc>
  <rcc rId="18483" sId="4" numFmtId="4">
    <oc r="G179">
      <v>36</v>
    </oc>
    <nc r="G179">
      <v>62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.xml><?xml version="1.0" encoding="utf-8"?>
<revisions xmlns="http://schemas.openxmlformats.org/spreadsheetml/2006/main" xmlns:r="http://schemas.openxmlformats.org/officeDocument/2006/relationships">
  <rcc rId="18923" sId="3" numFmtId="4">
    <oc r="F156">
      <v>25</v>
    </oc>
    <nc r="F156">
      <v>19</v>
    </nc>
  </rcc>
  <rcc rId="18924" sId="3" numFmtId="4">
    <oc r="G156">
      <f>1830+500+300+29.25</f>
    </oc>
    <nc r="G156">
      <v>1830</v>
    </nc>
  </rcc>
  <rcc rId="18925" sId="4">
    <oc r="D249">
      <v>1981</v>
    </oc>
    <nc r="D249">
      <v>2689</v>
    </nc>
  </rcc>
  <rcc rId="18926" sId="3" numFmtId="4">
    <oc r="D252">
      <v>566</v>
    </oc>
    <nc r="D252">
      <v>699</v>
    </nc>
  </rcc>
  <rcc rId="18927" sId="3" numFmtId="4">
    <oc r="E252">
      <v>63666</v>
    </oc>
    <nc r="E252"/>
  </rcc>
  <rcc rId="18928" sId="4" numFmtId="4">
    <oc r="J237">
      <v>9</v>
    </oc>
    <nc r="J237">
      <v>40</v>
    </nc>
  </rcc>
  <rcc rId="18929" sId="4" numFmtId="4">
    <oc r="K237">
      <v>43</v>
    </oc>
    <nc r="K237">
      <v>301</v>
    </nc>
  </rcc>
  <rcc rId="18930" sId="4" odxf="1" dxf="1">
    <nc r="K246">
      <f>K245-K243</f>
    </nc>
    <odxf>
      <numFmt numFmtId="0" formatCode="General"/>
    </odxf>
    <ndxf>
      <numFmt numFmtId="164" formatCode="#,##0.00_р_."/>
    </ndxf>
  </rcc>
  <rcc rId="18931" sId="4" odxf="1" dxf="1">
    <nc r="J246">
      <f>J245-J243</f>
    </nc>
    <odxf>
      <numFmt numFmtId="0" formatCode="General"/>
    </odxf>
    <ndxf>
      <numFmt numFmtId="164" formatCode="#,##0.00_р_."/>
    </ndxf>
  </rcc>
  <rcc rId="18932" sId="4" numFmtId="4">
    <nc r="J235">
      <v>18</v>
    </nc>
  </rcc>
  <rcc rId="18933" sId="4" numFmtId="4">
    <nc r="K235">
      <v>185</v>
    </nc>
  </rcc>
  <rfmt sheetId="4" sqref="P16" start="0" length="0">
    <dxf/>
  </rfmt>
  <rcc rId="18934" sId="4" numFmtId="4">
    <oc r="D21">
      <v>0</v>
    </oc>
    <nc r="D21">
      <v>31</v>
    </nc>
  </rcc>
  <rcc rId="18935" sId="4" numFmtId="4">
    <oc r="E21">
      <v>0</v>
    </oc>
    <nc r="E21">
      <v>260</v>
    </nc>
  </rcc>
  <rcc rId="18936" sId="4" numFmtId="4">
    <oc r="J21">
      <v>31</v>
    </oc>
    <nc r="J21">
      <v>26</v>
    </nc>
  </rcc>
  <rcc rId="18937" sId="4" numFmtId="4">
    <oc r="K21">
      <v>260</v>
    </oc>
    <nc r="K21">
      <v>235</v>
    </nc>
  </rcc>
  <rcc rId="18938" sId="4" numFmtId="4">
    <oc r="D22">
      <v>1</v>
    </oc>
    <nc r="D22">
      <v>20</v>
    </nc>
  </rcc>
  <rcc rId="18939" sId="4" numFmtId="4">
    <oc r="D23">
      <v>1</v>
    </oc>
    <nc r="D23">
      <v>25</v>
    </nc>
  </rcc>
  <rcc rId="18940" sId="4" numFmtId="4">
    <nc r="J22">
      <v>15</v>
    </nc>
  </rcc>
  <rcc rId="18941" sId="4" numFmtId="4">
    <nc r="K22">
      <v>160</v>
    </nc>
  </rcc>
  <rcc rId="18942" sId="4" numFmtId="4">
    <nc r="J23">
      <v>20</v>
    </nc>
  </rcc>
  <rcc rId="18943" sId="4" numFmtId="4">
    <oc r="E23">
      <v>100</v>
    </oc>
    <nc r="E23">
      <v>240</v>
    </nc>
  </rcc>
  <rcc rId="18944" sId="4" numFmtId="4">
    <nc r="K23">
      <v>180</v>
    </nc>
  </rcc>
  <rcc rId="18945" sId="3" numFmtId="4">
    <oc r="D68">
      <v>3</v>
    </oc>
    <nc r="D68">
      <v>4</v>
    </nc>
  </rcc>
  <rcc rId="18946" sId="3" numFmtId="4">
    <oc r="E68">
      <v>300</v>
    </oc>
    <nc r="E68">
      <f>550+300</f>
    </nc>
  </rcc>
  <rcc rId="18947" sId="3" numFmtId="4">
    <oc r="D107">
      <v>10</v>
    </oc>
    <nc r="D107">
      <v>11</v>
    </nc>
  </rcc>
  <rcc rId="18948" sId="3">
    <oc r="E107">
      <f>902+29.25</f>
    </oc>
    <nc r="E107">
      <f>902+29.25+630</f>
    </nc>
  </rcc>
  <rcc rId="18949" sId="3" numFmtId="4">
    <oc r="D117">
      <v>18</v>
    </oc>
    <nc r="D117">
      <v>19</v>
    </nc>
  </rcc>
  <rcc rId="18950" sId="3">
    <oc r="E117">
      <f>360+15+320+20+155+360+80+60+15+54+80+50+10+10+200+60+194+100</f>
    </oc>
    <nc r="E117">
      <f>360+15+320+20+155+360+80+60+15+54+80+50+10+10+200+60+194+100+320</f>
    </nc>
  </rcc>
  <rcc rId="18951" sId="3" numFmtId="4">
    <oc r="E197">
      <v>520</v>
    </oc>
    <nc r="E197">
      <f>520+420</f>
    </nc>
  </rcc>
  <rcc rId="18952" sId="3" numFmtId="4">
    <oc r="D215">
      <v>3</v>
    </oc>
    <nc r="D215">
      <v>4</v>
    </nc>
  </rcc>
  <rcc rId="18953" sId="3" numFmtId="4">
    <oc r="E215">
      <v>120</v>
    </oc>
    <nc r="E215">
      <f>320+120</f>
    </nc>
  </rcc>
  <rcc rId="18954" sId="3">
    <oc r="E35">
      <f>15+100+25+20+20+25+160+45+15+90+30+120+160+10+25</f>
    </oc>
    <nc r="E35">
      <f>15+100+25+20+20+25+160+45+15+90+30+120+160+10+25+300</f>
    </nc>
  </rcc>
  <rcc rId="18955" sId="3" numFmtId="4">
    <oc r="D35">
      <v>15</v>
    </oc>
    <nc r="D35">
      <v>16</v>
    </nc>
  </rcc>
  <rcc rId="18956" sId="3" numFmtId="4">
    <oc r="D114">
      <v>10</v>
    </oc>
    <nc r="D114">
      <v>11</v>
    </nc>
  </rcc>
  <rcc rId="18957" sId="3">
    <oc r="E114">
      <f>30+160+131+15+160+170+250+40+10+10</f>
    </oc>
    <nc r="E114">
      <f>30+160+131+15+160+170+250+40+10+10+600</f>
    </nc>
  </rcc>
  <rcc rId="18958" sId="3" numFmtId="4">
    <oc r="D66">
      <v>17</v>
    </oc>
    <nc r="D66">
      <v>19</v>
    </nc>
  </rcc>
  <rcc rId="18959" sId="3">
    <oc r="E66">
      <f>765+520+51.09</f>
    </oc>
    <nc r="E66">
      <f>765+520+51.09+414+520</f>
    </nc>
  </rcc>
  <rcc rId="18960" sId="3" numFmtId="4">
    <oc r="D227">
      <v>1</v>
    </oc>
    <nc r="D227">
      <v>5</v>
    </nc>
  </rcc>
  <rcc rId="18961" sId="3" numFmtId="4">
    <oc r="F227">
      <v>1</v>
    </oc>
    <nc r="F227">
      <v>5</v>
    </nc>
  </rcc>
  <rcc rId="18962" sId="3" numFmtId="4">
    <oc r="D223">
      <v>1</v>
    </oc>
    <nc r="D223">
      <v>6</v>
    </nc>
  </rcc>
  <rcc rId="18963" sId="3" numFmtId="4">
    <oc r="D222">
      <v>8</v>
    </oc>
    <nc r="D222">
      <v>12</v>
    </nc>
  </rcc>
  <rcc rId="18964" sId="3" numFmtId="4">
    <oc r="D219">
      <v>2</v>
    </oc>
    <nc r="D219">
      <v>12</v>
    </nc>
  </rcc>
  <rcc rId="18965" sId="3" numFmtId="4">
    <oc r="D213">
      <v>3</v>
    </oc>
    <nc r="D213">
      <v>6</v>
    </nc>
  </rcc>
  <rcc rId="18966" sId="3" numFmtId="4">
    <oc r="D208">
      <v>13</v>
    </oc>
    <nc r="D208">
      <v>34</v>
    </nc>
  </rcc>
  <rcc rId="18967" sId="3" numFmtId="4">
    <oc r="D199">
      <v>1</v>
    </oc>
    <nc r="D199">
      <v>5</v>
    </nc>
  </rcc>
  <rcc rId="18968" sId="3">
    <oc r="F251">
      <f>336+45</f>
    </oc>
    <nc r="F251"/>
  </rcc>
  <rcc rId="18969" sId="3">
    <oc r="G251">
      <f>21892+2000</f>
    </oc>
    <nc r="G251"/>
  </rcc>
  <rcc rId="18970" sId="3">
    <oc r="F252">
      <f>F246-F251</f>
    </oc>
    <nc r="F252"/>
  </rcc>
  <rcc rId="18971" sId="3">
    <oc r="G252">
      <f>G246-G251</f>
    </oc>
    <nc r="G252"/>
  </rcc>
  <rcc rId="18972" sId="3" numFmtId="4">
    <oc r="D136">
      <v>3</v>
    </oc>
    <nc r="D136">
      <v>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4.xml><?xml version="1.0" encoding="utf-8"?>
<revisions xmlns="http://schemas.openxmlformats.org/spreadsheetml/2006/main" xmlns:r="http://schemas.openxmlformats.org/officeDocument/2006/relationships">
  <rcc rId="18518" sId="4" numFmtId="4">
    <oc r="D83">
      <v>6</v>
    </oc>
    <nc r="D83">
      <v>8</v>
    </nc>
  </rcc>
  <rcc rId="18519" sId="4" numFmtId="4">
    <oc r="E83">
      <f>8+2.5+12+6+3+2.5</f>
    </oc>
    <nc r="E83">
      <v>44</v>
    </nc>
  </rcc>
  <rcc rId="18520" sId="4" numFmtId="4">
    <oc r="F83">
      <v>6</v>
    </oc>
    <nc r="F83">
      <v>8</v>
    </nc>
  </rcc>
  <rcc rId="18521" sId="4" numFmtId="4">
    <oc r="G83">
      <v>34</v>
    </oc>
    <nc r="G83">
      <v>44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5.xml><?xml version="1.0" encoding="utf-8"?>
<revisions xmlns="http://schemas.openxmlformats.org/spreadsheetml/2006/main" xmlns:r="http://schemas.openxmlformats.org/officeDocument/2006/relationships">
  <rcc rId="18872" sId="9">
    <oc r="N3">
      <f>M3-#REF!</f>
    </oc>
    <nc r="N3"/>
  </rcc>
  <rcc rId="18873" sId="9">
    <oc r="N7">
      <f>M7-#REF!</f>
    </oc>
    <nc r="N7"/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6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7.xml><?xml version="1.0" encoding="utf-8"?>
<revisions xmlns="http://schemas.openxmlformats.org/spreadsheetml/2006/main" xmlns:r="http://schemas.openxmlformats.org/officeDocument/2006/relationships">
  <rcc rId="18618" sId="3" numFmtId="4">
    <oc r="D155">
      <v>12</v>
    </oc>
    <nc r="D155">
      <v>13</v>
    </nc>
  </rcc>
  <rcc rId="18619" sId="3" numFmtId="4">
    <oc r="E155">
      <v>2241</v>
    </oc>
    <nc r="E155">
      <f>2241+41.9</f>
    </nc>
  </rcc>
  <rcc rId="18620" sId="3" numFmtId="4">
    <oc r="D105">
      <v>6</v>
    </oc>
    <nc r="D105">
      <v>7</v>
    </nc>
  </rcc>
  <rcc rId="18621" sId="3" numFmtId="4">
    <oc r="E105">
      <v>1954</v>
    </oc>
    <nc r="E105">
      <f>1954+51.9</f>
    </nc>
  </rcc>
  <rcc rId="18622" sId="3" numFmtId="4">
    <oc r="D106">
      <v>5</v>
    </oc>
    <nc r="D106">
      <v>6</v>
    </nc>
  </rcc>
  <rcc rId="18623" sId="3" numFmtId="4">
    <oc r="E106">
      <v>540</v>
    </oc>
    <nc r="E106">
      <f>540+29.25</f>
    </nc>
  </rcc>
  <rcc rId="18624" sId="3" numFmtId="4">
    <oc r="D66">
      <v>16</v>
    </oc>
    <nc r="D66">
      <v>17</v>
    </nc>
  </rcc>
  <rcc rId="18625" sId="3">
    <oc r="E66">
      <f>765+520+190</f>
    </oc>
    <nc r="E66">
      <f>765+520+190+51.09</f>
    </nc>
  </rcc>
  <rcc rId="18626" sId="3" numFmtId="4">
    <oc r="F66">
      <v>7</v>
    </oc>
    <nc r="F66">
      <v>9</v>
    </nc>
  </rcc>
  <rcc rId="18627" sId="3" numFmtId="4">
    <oc r="G66">
      <v>510</v>
    </oc>
    <nc r="G66">
      <v>678</v>
    </nc>
  </rcc>
  <rcc rId="18628" sId="3" numFmtId="4">
    <oc r="D86">
      <v>2</v>
    </oc>
    <nc r="D86">
      <v>3</v>
    </nc>
  </rcc>
  <rcc rId="18629" sId="3" numFmtId="4">
    <oc r="E86">
      <v>148</v>
    </oc>
    <nc r="E86">
      <v>228</v>
    </nc>
  </rcc>
  <rcc rId="18630" sId="3" numFmtId="4">
    <oc r="D37">
      <v>3</v>
    </oc>
    <nc r="D37">
      <v>4</v>
    </nc>
  </rcc>
  <rcc rId="18631" sId="3" numFmtId="4">
    <oc r="E37">
      <v>940</v>
    </oc>
    <nc r="E37">
      <f>940+70</f>
    </nc>
  </rcc>
  <rcc rId="18632" sId="3" numFmtId="4">
    <oc r="D35">
      <v>14</v>
    </oc>
    <nc r="D35">
      <v>15</v>
    </nc>
  </rcc>
  <rcc rId="18633" sId="3">
    <oc r="E35">
      <f>15+100+25+20+20+25+160+45+15+90+30+120+160+10+200</f>
    </oc>
    <nc r="E35">
      <f>15+100+25+20+20+25+160+45+15+90+30+120+160+10+200+25</f>
    </nc>
  </rcc>
  <rcc rId="18634" sId="3" numFmtId="4">
    <oc r="D34">
      <v>9</v>
    </oc>
    <nc r="D34">
      <v>10</v>
    </nc>
  </rcc>
  <rcc rId="18635" sId="3">
    <oc r="E34">
      <f>15+10+30+15+10+6+10+30+160</f>
    </oc>
    <nc r="E34">
      <f>15+10+30+15+10+6+10+30+160+45</f>
    </nc>
  </rcc>
  <rcc rId="18636" sId="3" numFmtId="4">
    <oc r="D224">
      <v>1</v>
    </oc>
    <nc r="D224">
      <v>2</v>
    </nc>
  </rcc>
  <rcc rId="18637" sId="3" numFmtId="4">
    <oc r="E224">
      <v>155</v>
    </oc>
    <nc r="E224">
      <v>255</v>
    </nc>
  </rcc>
  <rcc rId="18638" sId="4" numFmtId="4">
    <oc r="D144">
      <v>21</v>
    </oc>
    <nc r="D144">
      <v>23</v>
    </nc>
  </rcc>
  <rcc rId="18639" sId="4" numFmtId="4">
    <oc r="E144">
      <v>82</v>
    </oc>
    <nc r="E144">
      <f>82+12.5</f>
    </nc>
  </rcc>
  <rcc rId="18640" sId="4" numFmtId="4">
    <oc r="D43">
      <v>5</v>
    </oc>
    <nc r="D43">
      <v>6</v>
    </nc>
  </rcc>
  <rcc rId="18641" sId="4" numFmtId="4">
    <oc r="E43">
      <v>35</v>
    </oc>
    <nc r="E43">
      <v>42</v>
    </nc>
  </rcc>
  <rcc rId="18642" sId="4" numFmtId="4">
    <oc r="F43">
      <v>5</v>
    </oc>
    <nc r="F43">
      <v>6</v>
    </nc>
  </rcc>
  <rcc rId="18643" sId="4" numFmtId="4">
    <oc r="G43">
      <v>35</v>
    </oc>
    <nc r="G43">
      <v>42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1.xml><?xml version="1.0" encoding="utf-8"?>
<revisions xmlns="http://schemas.openxmlformats.org/spreadsheetml/2006/main" xmlns:r="http://schemas.openxmlformats.org/officeDocument/2006/relationships">
  <rcc rId="18570" sId="4" numFmtId="4">
    <oc r="D221">
      <v>15</v>
    </oc>
    <nc r="D221">
      <v>18</v>
    </nc>
  </rcc>
  <rcc rId="18571" sId="4" numFmtId="4">
    <oc r="E221">
      <v>290</v>
    </oc>
    <nc r="E221">
      <v>332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2.xml><?xml version="1.0" encoding="utf-8"?>
<revisions xmlns="http://schemas.openxmlformats.org/spreadsheetml/2006/main" xmlns:r="http://schemas.openxmlformats.org/officeDocument/2006/relationships">
  <rcc rId="18548" sId="4" numFmtId="4">
    <oc r="D107">
      <v>7</v>
    </oc>
    <nc r="D107">
      <v>11</v>
    </nc>
  </rcc>
  <rcc rId="18549" sId="4">
    <oc r="E107">
      <f>10+5+10+5+10+4+13</f>
    </oc>
    <nc r="E107">
      <f>10+5+10+5+10+4+13+28</f>
    </nc>
  </rcc>
  <rcc rId="18550" sId="4" numFmtId="4">
    <oc r="F107">
      <v>7</v>
    </oc>
    <nc r="F107">
      <v>11</v>
    </nc>
  </rcc>
  <rcc rId="18551" sId="4" numFmtId="4">
    <oc r="G107">
      <v>57</v>
    </oc>
    <nc r="G107">
      <v>85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3.xml><?xml version="1.0" encoding="utf-8"?>
<revisions xmlns="http://schemas.openxmlformats.org/spreadsheetml/2006/main" xmlns:r="http://schemas.openxmlformats.org/officeDocument/2006/relationships">
  <rcc rId="18979" sId="3" numFmtId="4">
    <nc r="J232">
      <v>4</v>
    </nc>
  </rcc>
  <rcc rId="18980" sId="3" numFmtId="4">
    <nc r="K232">
      <v>78</v>
    </nc>
  </rcc>
  <rcc rId="18981" sId="3" numFmtId="4">
    <nc r="J233">
      <v>2</v>
    </nc>
  </rcc>
  <rcc rId="18982" sId="3">
    <nc r="K233">
      <f>10+10</f>
    </nc>
  </rcc>
  <rcc rId="18983" sId="3" numFmtId="4">
    <nc r="J234">
      <v>1</v>
    </nc>
  </rcc>
  <rcc rId="18984" sId="3" numFmtId="4">
    <nc r="K234">
      <v>40</v>
    </nc>
  </rcc>
  <rcc rId="18985" sId="3" numFmtId="4">
    <nc r="J235">
      <v>1</v>
    </nc>
  </rcc>
  <rcc rId="18986" sId="3" numFmtId="4">
    <nc r="K235">
      <v>10</v>
    </nc>
  </rcc>
  <rcc rId="18987" sId="3" numFmtId="4">
    <nc r="J238">
      <v>1</v>
    </nc>
  </rcc>
  <rcc rId="18988" sId="3" numFmtId="4">
    <nc r="K238">
      <v>43</v>
    </nc>
  </rcc>
  <rcc rId="18989" sId="3" odxf="1" dxf="1">
    <nc r="J249">
      <f>J248-J246</f>
    </nc>
    <odxf>
      <numFmt numFmtId="0" formatCode="General"/>
    </odxf>
    <ndxf>
      <numFmt numFmtId="4" formatCode="#,##0.00"/>
    </ndxf>
  </rcc>
  <rcc rId="18990" sId="3" odxf="1" dxf="1">
    <nc r="K249">
      <f>K248-K246</f>
    </nc>
    <odxf>
      <numFmt numFmtId="0" formatCode="General"/>
    </odxf>
    <ndxf>
      <numFmt numFmtId="4" formatCode="#,##0.00"/>
    </ndxf>
  </rcc>
  <rcc rId="18991" sId="3" numFmtId="4">
    <nc r="J218">
      <v>2</v>
    </nc>
  </rcc>
  <rcc rId="18992" sId="3" numFmtId="4">
    <nc r="K218">
      <v>140</v>
    </nc>
  </rcc>
  <rcc rId="18993" sId="3" numFmtId="4">
    <nc r="J219">
      <v>12</v>
    </nc>
  </rcc>
  <rcc rId="18994" sId="3" numFmtId="4">
    <nc r="K219">
      <v>260</v>
    </nc>
  </rcc>
  <rcc rId="18995" sId="3" numFmtId="4">
    <nc r="J222">
      <v>12</v>
    </nc>
  </rcc>
  <rcc rId="18996" sId="3" numFmtId="4">
    <nc r="K222">
      <v>577</v>
    </nc>
  </rcc>
  <rcc rId="18997" sId="3" numFmtId="4">
    <nc r="J209">
      <v>2</v>
    </nc>
  </rcc>
  <rcc rId="18998" sId="3">
    <nc r="K209">
      <f>10+10</f>
    </nc>
  </rcc>
  <rcc rId="18999" sId="3" numFmtId="4">
    <nc r="J210">
      <v>1</v>
    </nc>
  </rcc>
  <rcc rId="19000" sId="3" numFmtId="4">
    <nc r="K210">
      <v>10</v>
    </nc>
  </rcc>
  <rcc rId="19001" sId="3" numFmtId="4">
    <nc r="J211">
      <v>5</v>
    </nc>
  </rcc>
  <rcc rId="19002" sId="3" numFmtId="4">
    <nc r="K211">
      <v>129.25</v>
    </nc>
  </rcc>
  <rcc rId="19003" sId="3" numFmtId="4">
    <nc r="J212">
      <v>1</v>
    </nc>
  </rcc>
  <rcc rId="19004" sId="3" numFmtId="4">
    <nc r="K212">
      <v>10</v>
    </nc>
  </rcc>
  <rcc rId="19005" sId="3" numFmtId="4">
    <nc r="J213">
      <v>2</v>
    </nc>
  </rcc>
  <rcc rId="19006" sId="3" numFmtId="4">
    <nc r="K213">
      <v>210</v>
    </nc>
  </rcc>
  <rcc rId="19007" sId="3" numFmtId="4">
    <oc r="J208">
      <v>2</v>
    </oc>
    <nc r="J208">
      <v>12</v>
    </nc>
  </rcc>
  <rcc rId="19008" sId="3" numFmtId="4">
    <nc r="J164">
      <v>1</v>
    </nc>
  </rcc>
  <rcc rId="19009" sId="3" numFmtId="4">
    <nc r="J31">
      <v>2</v>
    </nc>
  </rcc>
  <rfmt sheetId="3" sqref="J32" start="0" length="0">
    <dxf>
      <fill>
        <patternFill patternType="solid">
          <bgColor theme="0"/>
        </patternFill>
      </fill>
    </dxf>
  </rfmt>
  <rfmt sheetId="3" sqref="K32" start="0" length="0">
    <dxf>
      <fill>
        <patternFill patternType="solid">
          <bgColor theme="0"/>
        </patternFill>
      </fill>
    </dxf>
  </rfmt>
  <rfmt sheetId="3" sqref="J33" start="0" length="0">
    <dxf>
      <fill>
        <patternFill patternType="solid">
          <bgColor theme="0"/>
        </patternFill>
      </fill>
    </dxf>
  </rfmt>
  <rfmt sheetId="3" sqref="K33" start="0" length="0">
    <dxf>
      <fill>
        <patternFill patternType="solid">
          <bgColor theme="0"/>
        </patternFill>
      </fill>
    </dxf>
  </rfmt>
  <rcc rId="19010" sId="3" numFmtId="4">
    <nc r="J30">
      <v>6</v>
    </nc>
  </rcc>
  <rcc rId="19011" sId="3" numFmtId="4">
    <nc r="J32">
      <v>7</v>
    </nc>
  </rcc>
  <rcc rId="19012" sId="3" numFmtId="4">
    <nc r="K32">
      <v>450</v>
    </nc>
  </rcc>
  <rcc rId="19013" sId="3" numFmtId="4">
    <nc r="J33">
      <v>5</v>
    </nc>
  </rcc>
  <rcc rId="19014" sId="3" numFmtId="4">
    <nc r="K33">
      <v>340</v>
    </nc>
  </rcc>
  <rcc rId="19015" sId="3" numFmtId="4">
    <oc r="J35">
      <v>2</v>
    </oc>
    <nc r="J35">
      <v>8</v>
    </nc>
  </rcc>
  <rfmt sheetId="3" sqref="J45" start="0" length="0">
    <dxf>
      <fill>
        <patternFill patternType="solid">
          <bgColor theme="0"/>
        </patternFill>
      </fill>
    </dxf>
  </rfmt>
  <rfmt sheetId="3" sqref="K45" start="0" length="0">
    <dxf>
      <fill>
        <patternFill patternType="solid">
          <bgColor theme="0"/>
        </patternFill>
      </fill>
    </dxf>
  </rfmt>
  <rfmt sheetId="3" sqref="J46" start="0" length="0">
    <dxf>
      <fill>
        <patternFill patternType="solid">
          <bgColor theme="0"/>
        </patternFill>
      </fill>
    </dxf>
  </rfmt>
  <rfmt sheetId="3" sqref="K46" start="0" length="0">
    <dxf>
      <fill>
        <patternFill patternType="solid">
          <bgColor theme="0"/>
        </patternFill>
      </fill>
    </dxf>
  </rfmt>
  <rcc rId="19016" sId="3" odxf="1" dxf="1" numFmtId="4">
    <nc r="J47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17" sId="3" odxf="1" dxf="1" numFmtId="4">
    <nc r="K47">
      <v>75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18" sId="3" numFmtId="4">
    <nc r="K48">
      <v>680</v>
    </nc>
  </rcc>
  <rcc rId="19019" sId="3" numFmtId="4">
    <nc r="K31">
      <v>150</v>
    </nc>
  </rcc>
  <rcc rId="19020" sId="3" numFmtId="4">
    <oc r="K35">
      <v>80</v>
    </oc>
    <nc r="K35">
      <v>480</v>
    </nc>
  </rcc>
  <rcc rId="19021" sId="3" numFmtId="4">
    <oc r="J39">
      <v>13</v>
    </oc>
    <nc r="J39">
      <v>5</v>
    </nc>
  </rcc>
  <rcc rId="19022" sId="3" numFmtId="4">
    <oc r="K39">
      <v>920</v>
    </oc>
    <nc r="K39">
      <v>385</v>
    </nc>
  </rcc>
  <rcc rId="19023" sId="3">
    <oc r="K66">
      <v>940</v>
    </oc>
    <nc r="K66">
      <v>390</v>
    </nc>
  </rcc>
  <rcc rId="19024" sId="3" numFmtId="4">
    <oc r="J67">
      <v>13</v>
    </oc>
    <nc r="J67">
      <v>9</v>
    </nc>
  </rcc>
  <rcc rId="19025" sId="3">
    <oc r="K67">
      <v>870</v>
    </oc>
    <nc r="K67">
      <v>620</v>
    </nc>
  </rcc>
  <rcc rId="19026" sId="3" numFmtId="4">
    <nc r="J86">
      <v>3</v>
    </nc>
  </rcc>
  <rcc rId="19027" sId="3" numFmtId="4">
    <nc r="K86">
      <v>228</v>
    </nc>
  </rcc>
  <rcc rId="19028" sId="3" numFmtId="4">
    <nc r="J87">
      <v>3</v>
    </nc>
  </rcc>
  <rcc rId="19029" sId="3" numFmtId="4">
    <nc r="K87">
      <v>340</v>
    </nc>
  </rcc>
  <rcc rId="19030" sId="3" numFmtId="4">
    <nc r="J88">
      <v>1</v>
    </nc>
  </rcc>
  <rcc rId="19031" sId="3" numFmtId="4">
    <nc r="K88">
      <v>65</v>
    </nc>
  </rcc>
  <rcc rId="19032" sId="3" numFmtId="4">
    <nc r="J91">
      <v>2</v>
    </nc>
  </rcc>
  <rcc rId="19033" sId="3" numFmtId="4">
    <nc r="K91">
      <v>95</v>
    </nc>
  </rcc>
  <rcc rId="19034" sId="3" numFmtId="4">
    <nc r="J92">
      <v>1</v>
    </nc>
  </rcc>
  <rcc rId="19035" sId="3" numFmtId="4">
    <nc r="K92">
      <v>15</v>
    </nc>
  </rcc>
  <rcc rId="19036" sId="3" numFmtId="4">
    <nc r="J93">
      <v>1</v>
    </nc>
  </rcc>
  <rcc rId="19037" sId="3" numFmtId="4">
    <nc r="K93">
      <v>50</v>
    </nc>
  </rcc>
  <rcc rId="19038" sId="3" numFmtId="4">
    <nc r="J90">
      <v>1</v>
    </nc>
  </rcc>
  <rcc rId="19039" sId="3" numFmtId="4">
    <nc r="K90">
      <v>25</v>
    </nc>
  </rcc>
  <rcc rId="19040" sId="3" numFmtId="4">
    <oc r="J117">
      <v>19</v>
    </oc>
    <nc r="J117">
      <v>11</v>
    </nc>
  </rcc>
  <rcc rId="19041" sId="3" numFmtId="4">
    <oc r="D204">
      <v>1</v>
    </oc>
    <nc r="D204">
      <v>3</v>
    </nc>
  </rcc>
  <rcc rId="19042" sId="3" numFmtId="4">
    <oc r="D208">
      <v>34</v>
    </oc>
    <nc r="D208">
      <v>32</v>
    </nc>
  </rcc>
  <rcc rId="19043" sId="3" numFmtId="4">
    <nc r="J198">
      <v>1</v>
    </nc>
  </rcc>
  <rcc rId="19044" sId="3" numFmtId="4">
    <nc r="K198">
      <v>29.25</v>
    </nc>
  </rcc>
  <rfmt sheetId="3" sqref="J199" start="0" length="0">
    <dxf>
      <fill>
        <patternFill patternType="solid">
          <bgColor rgb="FFFFFF00"/>
        </patternFill>
      </fill>
    </dxf>
  </rfmt>
  <rfmt sheetId="3" sqref="K199" start="0" length="0">
    <dxf>
      <fill>
        <patternFill patternType="solid">
          <bgColor rgb="FFFFFF00"/>
        </patternFill>
      </fill>
    </dxf>
  </rfmt>
  <rcc rId="19045" sId="3" numFmtId="4">
    <nc r="J199">
      <v>2</v>
    </nc>
  </rcc>
  <rcc rId="19046" sId="3" numFmtId="4">
    <nc r="K199">
      <v>160</v>
    </nc>
  </rcc>
  <rcc rId="19047" sId="3" numFmtId="4">
    <nc r="J197">
      <v>7</v>
    </nc>
  </rcc>
  <rcc rId="19048" sId="3" numFmtId="4">
    <nc r="K197">
      <v>310</v>
    </nc>
  </rcc>
  <rcc rId="19049" sId="3" numFmtId="4">
    <nc r="J188">
      <v>1</v>
    </nc>
  </rcc>
  <rcc rId="19050" sId="3" numFmtId="4">
    <nc r="K188">
      <v>90</v>
    </nc>
  </rcc>
  <rcc rId="19051" sId="3" numFmtId="4">
    <nc r="J189">
      <v>1</v>
    </nc>
  </rcc>
  <rcc rId="19052" sId="3" numFmtId="4">
    <nc r="K189">
      <v>15</v>
    </nc>
  </rcc>
  <rfmt sheetId="3" sqref="J178" start="0" length="0">
    <dxf>
      <fill>
        <patternFill patternType="solid">
          <bgColor theme="0"/>
        </patternFill>
      </fill>
    </dxf>
  </rfmt>
  <rfmt sheetId="3" sqref="K178" start="0" length="0">
    <dxf>
      <fill>
        <patternFill patternType="solid">
          <bgColor theme="0"/>
        </patternFill>
      </fill>
    </dxf>
  </rfmt>
  <rcc rId="19053" sId="3" odxf="1" dxf="1" numFmtId="4">
    <nc r="J179">
      <v>2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54" sId="3" odxf="1" dxf="1" numFmtId="4">
    <nc r="K179">
      <v>110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55" sId="3" numFmtId="4">
    <nc r="J180">
      <v>2</v>
    </nc>
  </rcc>
  <rcc rId="19056" sId="3" numFmtId="4">
    <nc r="K180">
      <v>160</v>
    </nc>
  </rcc>
  <rcc rId="19057" sId="3" numFmtId="4">
    <nc r="J181">
      <v>1</v>
    </nc>
  </rcc>
  <rcc rId="19058" sId="3" numFmtId="4">
    <nc r="K181">
      <v>80</v>
    </nc>
  </rcc>
  <rcc rId="19059" sId="3" numFmtId="4">
    <nc r="J182">
      <v>1</v>
    </nc>
  </rcc>
  <rcc rId="19060" sId="3" numFmtId="4">
    <nc r="K182">
      <v>70</v>
    </nc>
  </rcc>
  <rcc rId="19061" sId="3" numFmtId="4">
    <nc r="J183">
      <v>2</v>
    </nc>
  </rcc>
  <rcc rId="19062" sId="3" numFmtId="4">
    <nc r="K183">
      <v>120</v>
    </nc>
  </rcc>
  <rcc rId="19063" sId="3" numFmtId="4">
    <nc r="J184">
      <v>3</v>
    </nc>
  </rcc>
  <rcc rId="19064" sId="3">
    <nc r="K184">
      <f>15+15+40</f>
    </nc>
  </rcc>
  <rcc rId="19065" sId="3" numFmtId="4">
    <nc r="J178">
      <v>2</v>
    </nc>
  </rcc>
  <rcc rId="19066" sId="3" numFmtId="4">
    <nc r="K178">
      <v>100</v>
    </nc>
  </rcc>
  <rcc rId="19067" sId="3" odxf="1" dxf="1" numFmtId="4">
    <nc r="J167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68" sId="3" odxf="1" dxf="1">
    <nc r="K167">
      <f>120</f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69" sId="3" odxf="1" dxf="1" numFmtId="4">
    <nc r="J168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70" sId="3" odxf="1" dxf="1" numFmtId="4">
    <nc r="K168">
      <v>40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J169" start="0" length="0">
    <dxf>
      <fill>
        <patternFill patternType="solid">
          <bgColor theme="0"/>
        </patternFill>
      </fill>
    </dxf>
  </rfmt>
  <rfmt sheetId="3" sqref="K169" start="0" length="0">
    <dxf>
      <fill>
        <patternFill patternType="solid">
          <bgColor theme="0"/>
        </patternFill>
      </fill>
    </dxf>
  </rfmt>
  <rfmt sheetId="3" sqref="J170" start="0" length="0">
    <dxf>
      <fill>
        <patternFill patternType="solid">
          <bgColor theme="0"/>
        </patternFill>
      </fill>
    </dxf>
  </rfmt>
  <rfmt sheetId="3" sqref="K170" start="0" length="0">
    <dxf>
      <fill>
        <patternFill patternType="solid">
          <bgColor theme="0"/>
        </patternFill>
      </fill>
    </dxf>
  </rfmt>
  <rfmt sheetId="3" sqref="J171" start="0" length="0">
    <dxf>
      <fill>
        <patternFill patternType="solid">
          <bgColor theme="0"/>
        </patternFill>
      </fill>
    </dxf>
  </rfmt>
  <rfmt sheetId="3" sqref="K171" start="0" length="0">
    <dxf>
      <fill>
        <patternFill patternType="solid">
          <bgColor theme="0"/>
        </patternFill>
      </fill>
    </dxf>
  </rfmt>
  <rcc rId="19071" sId="3" numFmtId="4">
    <nc r="J169">
      <v>2</v>
    </nc>
  </rcc>
  <rcc rId="19072" sId="3" numFmtId="4">
    <nc r="K169">
      <v>105</v>
    </nc>
  </rcc>
  <rcc rId="19073" sId="3" odxf="1" dxf="1">
    <nc r="J138">
      <v>1</v>
    </nc>
    <odxf/>
    <ndxf/>
  </rcc>
  <rcc rId="19074" sId="3" odxf="1" dxf="1">
    <nc r="K138">
      <v>29.25</v>
    </nc>
    <odxf/>
    <ndxf/>
  </rcc>
  <rcc rId="19075" sId="3" numFmtId="4">
    <nc r="J133">
      <v>1</v>
    </nc>
  </rcc>
  <rcc rId="19076" sId="3" numFmtId="4">
    <nc r="K133">
      <v>32</v>
    </nc>
  </rcc>
  <rcc rId="19077" sId="3" odxf="1" dxf="1" numFmtId="4">
    <nc r="J141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78" sId="3" odxf="1" dxf="1" numFmtId="4">
    <nc r="K141">
      <v>10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fmt sheetId="3" sqref="J142" start="0" length="0">
    <dxf>
      <fill>
        <patternFill patternType="solid">
          <bgColor theme="0"/>
        </patternFill>
      </fill>
    </dxf>
  </rfmt>
  <rfmt sheetId="3" sqref="K142" start="0" length="0">
    <dxf>
      <fill>
        <patternFill patternType="solid">
          <bgColor theme="0"/>
        </patternFill>
      </fill>
    </dxf>
  </rfmt>
  <rcc rId="19079" sId="3" numFmtId="4">
    <nc r="J122">
      <v>5</v>
    </nc>
  </rcc>
  <rcc rId="19080" sId="3" numFmtId="4">
    <nc r="K122">
      <v>63</v>
    </nc>
  </rcc>
  <rcc rId="19081" sId="3" numFmtId="4">
    <nc r="J119">
      <v>1</v>
    </nc>
  </rcc>
  <rcc rId="19082" sId="3" numFmtId="4">
    <nc r="K119">
      <v>25</v>
    </nc>
  </rcc>
  <rcc rId="19083" sId="3" numFmtId="4">
    <nc r="J114">
      <v>7</v>
    </nc>
  </rcc>
  <rcc rId="19084" sId="3" numFmtId="4">
    <nc r="K114">
      <v>95</v>
    </nc>
  </rcc>
  <rcc rId="19085" sId="3" numFmtId="4">
    <oc r="J131">
      <v>6</v>
    </oc>
    <nc r="J131"/>
  </rcc>
  <rcc rId="19086" sId="3" numFmtId="4">
    <oc r="K131">
      <v>165</v>
    </oc>
    <nc r="K131"/>
  </rcc>
  <rcc rId="19087" sId="3" numFmtId="4">
    <oc r="J132">
      <v>4</v>
    </oc>
    <nc r="J132"/>
  </rcc>
  <rcc rId="19088" sId="3" numFmtId="4">
    <oc r="K132">
      <v>170</v>
    </oc>
    <nc r="K132"/>
  </rcc>
  <rcc rId="19089" sId="3" numFmtId="4">
    <nc r="J97">
      <v>2</v>
    </nc>
  </rcc>
  <rcc rId="19090" sId="3">
    <nc r="K97">
      <f>10+45</f>
    </nc>
  </rcc>
  <rcc rId="19091" sId="3" numFmtId="4">
    <nc r="J98">
      <v>3</v>
    </nc>
  </rcc>
  <rcc rId="19092" sId="3" numFmtId="4">
    <nc r="K98">
      <v>87</v>
    </nc>
  </rcc>
  <rcc rId="19093" sId="3" odxf="1" dxf="1" numFmtId="4">
    <nc r="J82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94" sId="3" odxf="1" dxf="1" numFmtId="4">
    <nc r="K82">
      <v>25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95" sId="3" odxf="1" dxf="1" numFmtId="4">
    <nc r="J83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96" sId="3" odxf="1" dxf="1" numFmtId="4">
    <nc r="K83">
      <v>45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097" sId="3" numFmtId="4">
    <nc r="J84">
      <v>1</v>
    </nc>
  </rcc>
  <rcc rId="19098" sId="3" numFmtId="4">
    <nc r="K84">
      <v>10</v>
    </nc>
  </rcc>
  <rcc rId="19099" sId="3" numFmtId="4">
    <oc r="J66">
      <v>19</v>
    </oc>
    <nc r="J66">
      <v>11</v>
    </nc>
  </rcc>
  <rcc rId="19100" sId="3" numFmtId="4">
    <nc r="J24">
      <v>2</v>
    </nc>
  </rcc>
  <rcc rId="19101" sId="3" numFmtId="4">
    <oc r="J26">
      <v>3</v>
    </oc>
    <nc r="J26">
      <v>6</v>
    </nc>
  </rcc>
  <rcc rId="19102" sId="3" numFmtId="4">
    <nc r="J28">
      <v>3</v>
    </nc>
  </rcc>
  <rcc rId="19103" sId="3">
    <oc r="J36">
      <v>3</v>
    </oc>
    <nc r="J36">
      <v>6</v>
    </nc>
  </rcc>
  <rcc rId="19104" sId="3" numFmtId="4">
    <nc r="J45">
      <v>1</v>
    </nc>
  </rcc>
  <rcc rId="19105" sId="3" numFmtId="4">
    <nc r="K45">
      <v>70</v>
    </nc>
  </rcc>
  <rcc rId="19106" sId="3" numFmtId="4">
    <nc r="J46">
      <v>2</v>
    </nc>
  </rcc>
  <rcc rId="19107" sId="3" numFmtId="4">
    <nc r="K46">
      <v>5</v>
    </nc>
  </rcc>
  <rcc rId="19108" sId="3" numFmtId="4">
    <nc r="J48">
      <v>8</v>
    </nc>
  </rcc>
  <rcc rId="19109" sId="3" numFmtId="4">
    <nc r="J58">
      <v>4</v>
    </nc>
  </rcc>
  <rcc rId="19110" sId="3" numFmtId="4">
    <nc r="K58">
      <v>210</v>
    </nc>
  </rcc>
  <rcc rId="19111" sId="3" numFmtId="4">
    <nc r="J62">
      <v>2</v>
    </nc>
  </rcc>
  <rcc rId="19112" sId="3">
    <nc r="K62">
      <f>8+7</f>
    </nc>
  </rcc>
  <rcc rId="19113" sId="3" numFmtId="4">
    <nc r="J69">
      <v>2</v>
    </nc>
  </rcc>
  <rcc rId="19114" sId="3" odxf="1" dxf="1" numFmtId="4">
    <nc r="K69">
      <v>125</v>
    </nc>
    <odxf>
      <numFmt numFmtId="0" formatCode="General"/>
    </odxf>
    <ndxf>
      <numFmt numFmtId="2" formatCode="0.00"/>
    </ndxf>
  </rcc>
  <rcc rId="19115" sId="3" numFmtId="4">
    <nc r="J72">
      <v>1</v>
    </nc>
  </rcc>
  <rcc rId="19116" sId="3" odxf="1" dxf="1" numFmtId="4">
    <nc r="K72">
      <v>10</v>
    </nc>
    <odxf>
      <numFmt numFmtId="0" formatCode="General"/>
    </odxf>
    <ndxf>
      <numFmt numFmtId="2" formatCode="0.00"/>
    </ndxf>
  </rcc>
  <rcc rId="19117" sId="3" odxf="1" dxf="1" numFmtId="4">
    <nc r="J79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118" sId="3" odxf="1" dxf="1" numFmtId="4">
    <nc r="K79">
      <v>90</v>
    </nc>
    <odxf>
      <numFmt numFmtId="0" formatCode="General"/>
      <fill>
        <patternFill patternType="none">
          <bgColor indexed="65"/>
        </patternFill>
      </fill>
    </odxf>
    <ndxf>
      <numFmt numFmtId="2" formatCode="0.00"/>
      <fill>
        <patternFill patternType="solid">
          <bgColor theme="0"/>
        </patternFill>
      </fill>
    </ndxf>
  </rcc>
  <rcc rId="19119" sId="3" numFmtId="4">
    <nc r="J228">
      <v>1</v>
    </nc>
  </rcc>
  <rcc rId="19120" sId="3" numFmtId="4">
    <nc r="K228">
      <v>4.4000000000000004</v>
    </nc>
  </rcc>
  <rcc rId="19121" sId="3" numFmtId="4">
    <oc r="J225">
      <v>1</v>
    </oc>
    <nc r="J225">
      <v>2</v>
    </nc>
  </rcc>
  <rcc rId="19122" sId="3" numFmtId="4">
    <oc r="K225">
      <v>15</v>
    </oc>
    <nc r="K225">
      <v>27</v>
    </nc>
  </rcc>
  <rcc rId="19123" sId="3" numFmtId="4">
    <nc r="J226">
      <v>1</v>
    </nc>
  </rcc>
  <rcc rId="19124" sId="3" numFmtId="4">
    <nc r="K226">
      <v>4.4000000000000004</v>
    </nc>
  </rcc>
  <rcc rId="19125" sId="3" numFmtId="4">
    <nc r="J227">
      <v>4</v>
    </nc>
  </rcc>
  <rcc rId="19126" sId="3" numFmtId="4">
    <nc r="K227">
      <v>40</v>
    </nc>
  </rcc>
  <rcc rId="19127" sId="3" odxf="1" dxf="1" numFmtId="4">
    <nc r="J175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128" sId="3" odxf="1" dxf="1" numFmtId="4">
    <nc r="K175">
      <v>40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129" sId="3" odxf="1" dxf="1">
    <nc r="J161">
      <v>1</v>
    </nc>
    <odxf/>
    <ndxf/>
  </rcc>
  <rcc rId="19130" sId="3" odxf="1" dxf="1">
    <nc r="K161">
      <v>10</v>
    </nc>
    <odxf/>
    <ndxf/>
  </rcc>
  <rcc rId="19131" sId="3" odxf="1" dxf="1" numFmtId="4">
    <nc r="J148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132" sId="3" odxf="1" dxf="1" numFmtId="4">
    <nc r="K148">
      <v>10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133" sId="3" numFmtId="4">
    <nc r="J147">
      <v>1</v>
    </nc>
  </rcc>
  <rcc rId="19134" sId="3" numFmtId="4">
    <nc r="K147">
      <v>15</v>
    </nc>
  </rcc>
  <rcc rId="19135" sId="3" numFmtId="4">
    <nc r="J149">
      <v>2</v>
    </nc>
  </rcc>
  <rcc rId="19136" sId="3" numFmtId="4">
    <nc r="K149">
      <v>20</v>
    </nc>
  </rcc>
  <rcc rId="19137" sId="3">
    <nc r="J150">
      <v>1</v>
    </nc>
  </rcc>
  <rcc rId="19138" sId="3">
    <nc r="K150">
      <v>10</v>
    </nc>
  </rcc>
  <rcc rId="19139" sId="3" numFmtId="4">
    <nc r="K164">
      <v>75</v>
    </nc>
  </rcc>
  <rcc rId="19140" sId="3" numFmtId="4">
    <oc r="K155">
      <v>356</v>
    </oc>
    <nc r="K155">
      <v>656</v>
    </nc>
  </rcc>
  <rcc rId="19141" sId="3" numFmtId="4">
    <oc r="J155">
      <v>12</v>
    </oc>
    <nc r="J155">
      <v>9</v>
    </nc>
  </rcc>
  <rcc rId="19142" sId="3" numFmtId="4">
    <oc r="K156">
      <v>215</v>
    </oc>
    <nc r="K156">
      <v>560</v>
    </nc>
  </rcc>
  <rcc rId="19143" sId="3" odxf="1" dxf="1" numFmtId="4">
    <nc r="J146">
      <v>1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144" sId="3" odxf="1" dxf="1" numFmtId="4">
    <nc r="K146">
      <v>100</v>
    </nc>
    <odxf>
      <fill>
        <patternFill patternType="none">
          <bgColor indexed="65"/>
        </patternFill>
      </fill>
    </odxf>
    <ndxf>
      <fill>
        <patternFill patternType="solid">
          <bgColor theme="0"/>
        </patternFill>
      </fill>
    </ndxf>
  </rcc>
  <rcc rId="19145" sId="3" numFmtId="4">
    <nc r="J170">
      <v>2</v>
    </nc>
  </rcc>
  <rcc rId="19146" sId="3" numFmtId="4">
    <nc r="K170">
      <v>180</v>
    </nc>
  </rcc>
  <rfmt sheetId="3" sqref="J143" start="0" length="0">
    <dxf>
      <fill>
        <patternFill patternType="solid">
          <bgColor theme="0"/>
        </patternFill>
      </fill>
    </dxf>
  </rfmt>
  <rfmt sheetId="3" sqref="K143" start="0" length="0">
    <dxf>
      <fill>
        <patternFill patternType="solid">
          <bgColor theme="0"/>
        </patternFill>
      </fill>
    </dxf>
  </rfmt>
  <rfmt sheetId="3" sqref="J144" start="0" length="0">
    <dxf>
      <fill>
        <patternFill patternType="solid">
          <bgColor theme="0"/>
        </patternFill>
      </fill>
    </dxf>
  </rfmt>
  <rfmt sheetId="3" sqref="K144" start="0" length="0">
    <dxf>
      <fill>
        <patternFill patternType="solid">
          <bgColor theme="0"/>
        </patternFill>
      </fill>
    </dxf>
  </rfmt>
  <rcc rId="19147" sId="3" numFmtId="4">
    <nc r="J142">
      <v>1</v>
    </nc>
  </rcc>
  <rcc rId="19148" sId="3" numFmtId="4">
    <nc r="K142">
      <v>29.25</v>
    </nc>
  </rcc>
  <rcc rId="19149" sId="3" numFmtId="4">
    <nc r="J143">
      <v>1</v>
    </nc>
  </rcc>
  <rcc rId="19150" sId="3" numFmtId="4">
    <nc r="K143">
      <v>80</v>
    </nc>
  </rcc>
  <rcc rId="19151" sId="3" numFmtId="4">
    <nc r="K24">
      <v>100</v>
    </nc>
  </rcc>
  <rcc rId="19152" sId="3" numFmtId="4">
    <oc r="K26">
      <v>210</v>
    </oc>
    <nc r="K26">
      <v>360</v>
    </nc>
  </rcc>
  <rcc rId="19153" sId="3" numFmtId="4">
    <nc r="K28">
      <v>310</v>
    </nc>
  </rcc>
  <rcc rId="19154" sId="3" numFmtId="4">
    <nc r="K30">
      <v>450</v>
    </nc>
  </rcc>
  <rcc rId="19155" sId="3" numFmtId="4">
    <oc r="K208">
      <v>120</v>
    </oc>
    <nc r="K208">
      <v>920</v>
    </nc>
  </rcc>
  <rcc rId="19156" sId="3" numFmtId="4">
    <oc r="K117">
      <v>740</v>
    </oc>
    <nc r="K117">
      <f>740+68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1.xml><?xml version="1.0" encoding="utf-8"?>
<revisions xmlns="http://schemas.openxmlformats.org/spreadsheetml/2006/main" xmlns:r="http://schemas.openxmlformats.org/officeDocument/2006/relationships">
  <rcc rId="18650" sId="3">
    <oc r="E208">
      <f>3789+40</f>
    </oc>
    <nc r="E208">
      <f>2789+40</f>
    </nc>
  </rcc>
  <rcc rId="18651" sId="3">
    <oc r="E66">
      <f>765+520+190+51.09</f>
    </oc>
    <nc r="E66">
      <f>765+520+51.09</f>
    </nc>
  </rcc>
  <rcc rId="18652" sId="3">
    <oc r="E67">
      <f>41+15+15+155+50+15+60+50+250+100+300+250+62</f>
    </oc>
    <nc r="E67">
      <f>41+15+15+155+50+15+60+50+250+100+300+62</f>
    </nc>
  </rcc>
  <rcc rId="18653" sId="3" numFmtId="4">
    <oc r="E48">
      <v>1918</v>
    </oc>
    <nc r="E48">
      <v>1500</v>
    </nc>
  </rcc>
  <rcc rId="18654" sId="3">
    <oc r="E26">
      <f>80+100+200+1100+120+60</f>
    </oc>
    <nc r="E26">
      <f>80+100+200+800+120+60</f>
    </nc>
  </rcc>
  <rcc rId="18655" sId="1">
    <nc r="E248">
      <v>75520</v>
    </nc>
  </rcc>
  <rcc rId="18656" sId="1">
    <nc r="J248">
      <v>2161</v>
    </nc>
  </rcc>
  <rcc rId="18657" sId="1">
    <nc r="K248">
      <v>34006.9</v>
    </nc>
  </rcc>
  <rcc rId="18658" sId="1">
    <nc r="D248">
      <v>3264</v>
    </nc>
  </rcc>
  <rcc rId="18659" sId="3" numFmtId="4">
    <oc r="E24">
      <v>190</v>
    </oc>
    <nc r="E24">
      <v>150</v>
    </nc>
  </rcc>
  <rcc rId="18660" sId="3" numFmtId="4">
    <oc r="E27">
      <v>140</v>
    </oc>
    <nc r="E27">
      <v>70</v>
    </nc>
  </rcc>
  <rcc rId="18661" sId="3" numFmtId="4">
    <oc r="E28">
      <v>970</v>
    </oc>
    <nc r="E28">
      <v>670</v>
    </nc>
  </rcc>
  <rcc rId="18662" sId="3" numFmtId="4">
    <oc r="E30">
      <v>2300</v>
    </oc>
    <nc r="E30">
      <v>1600</v>
    </nc>
  </rcc>
  <rcc rId="18663" sId="3" numFmtId="4">
    <oc r="E31">
      <v>860</v>
    </oc>
    <nc r="E31">
      <v>560</v>
    </nc>
  </rcc>
  <rcc rId="18664" sId="3">
    <oc r="E32">
      <f>10+100+300+80+10+300+40+480+422</f>
    </oc>
    <nc r="E32">
      <f>10+100+300+80+10+300+40+480</f>
    </nc>
  </rcc>
  <rcc rId="18665" sId="3">
    <oc r="E33">
      <f>60+48+150+85+640+60+220</f>
    </oc>
    <nc r="E33">
      <f>60+48+150+85+640+60</f>
    </nc>
  </rcc>
  <rcc rId="18666" sId="3">
    <oc r="E35">
      <f>15+100+25+20+20+25+160+45+15+90+30+120+160+10+200+25</f>
    </oc>
    <nc r="E35">
      <f>15+100+25+20+20+25+160+45+15+90+30+120+160+10+25</f>
    </nc>
  </rcc>
  <rcc rId="18667" sId="3" numFmtId="4">
    <oc r="E38">
      <v>550</v>
    </oc>
    <nc r="E38">
      <v>230</v>
    </nc>
  </rcc>
  <rcc rId="18668" sId="3" numFmtId="4">
    <oc r="E40">
      <v>360</v>
    </oc>
    <nc r="E40">
      <v>120</v>
    </nc>
  </rcc>
  <rcc rId="18669" sId="3" numFmtId="4">
    <oc r="E41">
      <f>1760+29.25</f>
    </oc>
    <nc r="E41">
      <v>1489.25</v>
    </nc>
  </rcc>
  <rcc rId="18670" sId="3" numFmtId="4">
    <oc r="E43">
      <v>723</v>
    </oc>
    <nc r="E43">
      <v>623</v>
    </nc>
  </rcc>
  <rcc rId="18671" sId="3" numFmtId="4">
    <oc r="E45">
      <v>470</v>
    </oc>
    <nc r="E45">
      <v>272</v>
    </nc>
  </rcc>
  <rcc rId="18672" sId="3" numFmtId="4">
    <oc r="E46">
      <v>250</v>
    </oc>
    <nc r="E46">
      <v>200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2.xml><?xml version="1.0" encoding="utf-8"?>
<revisions xmlns="http://schemas.openxmlformats.org/spreadsheetml/2006/main" xmlns:r="http://schemas.openxmlformats.org/officeDocument/2006/relationships">
  <rcc rId="18604" sId="3" numFmtId="4">
    <oc r="D225">
      <v>1</v>
    </oc>
    <nc r="D225">
      <v>2</v>
    </nc>
  </rcc>
  <rcc rId="18605" sId="3" numFmtId="4">
    <oc r="E225">
      <v>12</v>
    </oc>
    <nc r="E225">
      <v>27</v>
    </nc>
  </rcc>
  <rcc rId="18606" sId="3" numFmtId="4">
    <oc r="F225">
      <v>1</v>
    </oc>
    <nc r="F225">
      <v>2</v>
    </nc>
  </rcc>
  <rcc rId="18607" sId="3" numFmtId="4">
    <oc r="G225">
      <v>12</v>
    </oc>
    <nc r="G225">
      <v>27</v>
    </nc>
  </rcc>
  <rcc rId="18608" sId="3" numFmtId="4">
    <oc r="D66">
      <v>14</v>
    </oc>
    <nc r="D66">
      <v>16</v>
    </nc>
  </rcc>
  <rcc rId="18609" sId="3">
    <oc r="E66">
      <f>765+520</f>
    </oc>
    <nc r="E66">
      <f>765+520+190</f>
    </nc>
  </rcc>
  <rcc rId="18610" sId="4" numFmtId="4">
    <oc r="D63">
      <v>77</v>
    </oc>
    <nc r="D63">
      <v>86</v>
    </nc>
  </rcc>
  <rcc rId="18611" sId="4">
    <oc r="E63">
      <f>10+7+12+8+15+15+4+12+8+8+7+12+7+15+6+6+8+7+5+15+10+3+15+10+10+5+5+15+5+20+14+15+15+10+15+10+15+3+6+6+8+6+3+10+8+15+25+6+5+15+10+25+15+15+15+25+10+10+7+10+8+10+3+7+7+10+5+3+105</f>
    </oc>
    <nc r="E63">
      <f>10+7+12+8+15+15+4+12+8+8+7+12+7+15+6+6+8+7+5+15+10+3+15+10+10+5+5+15+5+20+14+15+15+10+15+10+15+3+6+6+8+6+3+10+8+15+25+6+5+15+10+25+15+15+15+25+10+10+7+10+8+10+3+7+7+10+5+3+105+94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3.xml><?xml version="1.0" encoding="utf-8"?>
<revisions xmlns="http://schemas.openxmlformats.org/spreadsheetml/2006/main" xmlns:r="http://schemas.openxmlformats.org/officeDocument/2006/relationships">
  <rcc rId="18915" sId="9">
    <nc r="P9">
      <v>3281</v>
    </nc>
  </rcc>
  <rcc rId="18916" sId="9">
    <oc r="P7">
      <f>O7-N7</f>
    </oc>
    <nc r="P7">
      <v>94202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01.xml><?xml version="1.0" encoding="utf-8"?>
<revisions xmlns="http://schemas.openxmlformats.org/spreadsheetml/2006/main" xmlns:r="http://schemas.openxmlformats.org/officeDocument/2006/relationships">
  <rcc rId="18702" sId="3">
    <oc r="E105">
      <f>1954+51.9</f>
    </oc>
    <nc r="E105">
      <f>1554+51.9</f>
    </nc>
  </rcc>
  <rcc rId="18703" sId="3">
    <oc r="E106">
      <f>540+29.25</f>
    </oc>
    <nc r="E106">
      <f>340+29.25</f>
    </nc>
  </rcc>
  <rcc rId="18704" sId="3" numFmtId="4">
    <oc r="E130">
      <v>123</v>
    </oc>
    <nc r="E130">
      <v>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02.xml><?xml version="1.0" encoding="utf-8"?>
<revisions xmlns="http://schemas.openxmlformats.org/spreadsheetml/2006/main" xmlns:r="http://schemas.openxmlformats.org/officeDocument/2006/relationships">
  <rcc rId="17912" sId="4" numFmtId="4">
    <oc r="D64">
      <v>38</v>
    </oc>
    <nc r="D64">
      <v>39</v>
    </nc>
  </rcc>
  <rcc rId="17913" sId="4">
    <oc r="E64">
      <f>15+15+5+15+15+15+15+8+15+15+15+15+4.5+15+10+15+10+15+15+15+13+15+15+5+5+15+10+5+15+6+6+15+10+15+10+15+15+7</f>
    </oc>
    <nc r="E64">
      <f>15+15+5+15+15+15+15+8+15+15+15+15+4.5+15+10+15+10+15+15+15+13+15+15+5+5+15+10+5+15+6+6+15+10+15+10+15+15+7+25</f>
    </nc>
  </rcc>
  <rcc rId="17914" sId="4" numFmtId="4">
    <oc r="F64">
      <v>38</v>
    </oc>
    <nc r="F64">
      <v>39</v>
    </nc>
  </rcc>
  <rcc rId="17915" sId="4" numFmtId="4">
    <oc r="G64">
      <v>459.5</v>
    </oc>
    <nc r="G64">
      <f>15+15+5+15+15+15+15+8+15+15+15+15+4.5+15+10+15+10+15+15+15+13+15+15+5+5+15+10+5+15+6+6+15+10+15+10+15+15+7+25</f>
    </nc>
  </rcc>
  <rcc rId="17916" sId="4" numFmtId="4">
    <oc r="D35">
      <v>31</v>
    </oc>
    <nc r="D35">
      <v>32</v>
    </nc>
  </rcc>
  <rcc rId="17917" sId="4" numFmtId="4">
    <oc r="E35">
      <v>270</v>
    </oc>
    <nc r="E35">
      <v>280</v>
    </nc>
  </rcc>
  <rcc rId="17918" sId="4" numFmtId="4">
    <oc r="F35">
      <v>20</v>
    </oc>
    <nc r="F35">
      <v>25</v>
    </nc>
  </rcc>
  <rcc rId="17919" sId="4" numFmtId="4">
    <oc r="G35">
      <v>175</v>
    </oc>
    <nc r="G35">
      <v>220</v>
    </nc>
  </rcc>
  <rcc rId="17920" sId="3" numFmtId="4">
    <oc r="D118">
      <v>7</v>
    </oc>
    <nc r="D118">
      <v>8</v>
    </nc>
  </rcc>
  <rcc rId="17921" sId="3">
    <oc r="E118">
      <f>15+250+670+150+45+80+85</f>
    </oc>
    <nc r="E118">
      <f>15+250+670+150+45+80+85+40</f>
    </nc>
  </rcc>
  <rcc rId="17922" sId="3" numFmtId="4">
    <oc r="D218">
      <v>1</v>
    </oc>
    <nc r="D218">
      <v>2</v>
    </nc>
  </rcc>
  <rcc rId="17923" sId="3" numFmtId="4">
    <oc r="D232">
      <v>3</v>
    </oc>
    <nc r="D232">
      <v>4</v>
    </nc>
  </rcc>
  <rcc rId="17924" sId="3" numFmtId="4">
    <oc r="E232">
      <f>10+13+15</f>
    </oc>
    <nc r="E232">
      <v>78</v>
    </nc>
  </rcc>
  <rcc rId="17925" sId="4" numFmtId="4">
    <oc r="D229">
      <v>15</v>
    </oc>
    <nc r="D229">
      <v>21</v>
    </nc>
  </rcc>
  <rcc rId="17926" sId="4" numFmtId="4">
    <oc r="E229">
      <v>201</v>
    </oc>
    <nc r="E229">
      <v>259</v>
    </nc>
  </rcc>
  <rcc rId="17927" sId="4" numFmtId="4">
    <oc r="F229">
      <v>5</v>
    </oc>
    <nc r="F229">
      <v>21</v>
    </nc>
  </rcc>
  <rcc rId="17928" sId="4" numFmtId="4">
    <oc r="G229">
      <v>75</v>
    </oc>
    <nc r="G229">
      <v>259</v>
    </nc>
  </rcc>
  <rcc rId="17929" sId="4" numFmtId="4">
    <oc r="D110">
      <v>8</v>
    </oc>
    <nc r="D110">
      <v>9</v>
    </nc>
  </rcc>
  <rcc rId="17930" sId="4">
    <oc r="E110">
      <f>1.8+1.8+1.8+7+8+8+8+8</f>
    </oc>
    <nc r="E110">
      <f>1.8+1.8+1.8+7+8+8+8+8+2</f>
    </nc>
  </rcc>
  <rcc rId="17931" sId="4" numFmtId="4">
    <oc r="F110">
      <v>8</v>
    </oc>
    <nc r="F110">
      <v>9</v>
    </nc>
  </rcc>
  <rcc rId="17932" sId="4" numFmtId="4">
    <oc r="G110">
      <v>44.4</v>
    </oc>
    <nc r="G110">
      <v>46.4</v>
    </nc>
  </rcc>
  <rcc rId="17933" sId="3" numFmtId="4">
    <nc r="D113">
      <v>1</v>
    </nc>
  </rcc>
  <rcc rId="17934" sId="3" numFmtId="4">
    <nc r="F113">
      <v>1</v>
    </nc>
  </rcc>
  <rcc rId="17935" sId="3" numFmtId="4">
    <nc r="G113">
      <v>25</v>
    </nc>
  </rcc>
  <rcc rId="17936" sId="3" numFmtId="4">
    <nc r="E113">
      <v>25</v>
    </nc>
  </rcc>
  <rcc rId="17937" sId="4" numFmtId="4">
    <oc r="D67">
      <v>9</v>
    </oc>
    <nc r="D67">
      <v>10</v>
    </nc>
  </rcc>
  <rcc rId="17938" sId="4" numFmtId="4">
    <oc r="E67">
      <f>15+5+5+15+6+15+30+10+10</f>
    </oc>
    <nc r="E67">
      <v>116</v>
    </nc>
  </rcc>
  <rcc rId="17939" sId="4" numFmtId="4">
    <oc r="F67">
      <v>7</v>
    </oc>
    <nc r="F67">
      <v>10</v>
    </nc>
  </rcc>
  <rcc rId="17940" sId="4" numFmtId="4">
    <oc r="G67">
      <v>97</v>
    </oc>
    <nc r="G67">
      <v>116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1.xml><?xml version="1.0" encoding="utf-8"?>
<revisions xmlns="http://schemas.openxmlformats.org/spreadsheetml/2006/main" xmlns:r="http://schemas.openxmlformats.org/officeDocument/2006/relationships">
  <rcc rId="18152" sId="3" numFmtId="4">
    <oc r="E107">
      <v>882</v>
    </oc>
    <nc r="E107">
      <v>902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2.xml><?xml version="1.0" encoding="utf-8"?>
<revisions xmlns="http://schemas.openxmlformats.org/spreadsheetml/2006/main" xmlns:r="http://schemas.openxmlformats.org/officeDocument/2006/relationships">
  <rcc rId="18104" sId="3" numFmtId="4">
    <oc r="F197">
      <v>12</v>
    </oc>
    <nc r="F197">
      <v>15</v>
    </nc>
  </rcc>
  <rcc rId="18105" sId="3" numFmtId="4">
    <oc r="G197">
      <v>290</v>
    </oc>
    <nc r="G197">
      <v>420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.xml><?xml version="1.0" encoding="utf-8"?>
<revisions xmlns="http://schemas.openxmlformats.org/spreadsheetml/2006/main" xmlns:r="http://schemas.openxmlformats.org/officeDocument/2006/relationships">
  <rcc rId="18490" sId="4" numFmtId="4">
    <oc r="D108">
      <v>35</v>
    </oc>
    <nc r="D108">
      <v>40</v>
    </nc>
  </rcc>
  <rcc rId="18491" sId="4" numFmtId="4">
    <oc r="E108">
      <v>350</v>
    </oc>
    <nc r="E108">
      <v>375</v>
    </nc>
  </rcc>
  <rcc rId="18492" sId="4" numFmtId="4">
    <oc r="D149">
      <v>1</v>
    </oc>
    <nc r="D149">
      <v>4</v>
    </nc>
  </rcc>
  <rcc rId="18493" sId="4" numFmtId="4">
    <oc r="F149">
      <v>1</v>
    </oc>
    <nc r="F149">
      <v>4</v>
    </nc>
  </rcc>
  <rcc rId="18494" sId="4" numFmtId="4">
    <oc r="E149">
      <v>5</v>
    </oc>
    <nc r="E149">
      <v>20</v>
    </nc>
  </rcc>
  <rcc rId="18495" sId="4" numFmtId="4">
    <oc r="G149">
      <v>5</v>
    </oc>
    <nc r="G149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41.xml><?xml version="1.0" encoding="utf-8"?>
<revisions xmlns="http://schemas.openxmlformats.org/spreadsheetml/2006/main" xmlns:r="http://schemas.openxmlformats.org/officeDocument/2006/relationships">
  <rcc rId="17899" sId="4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nc>
    <odxf/>
    <ndxf/>
  </rcc>
  <rcc rId="17900" sId="3" odxf="1" dxf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nc>
    <odxf/>
    <ndxf/>
  </rcc>
  <rcc rId="17901" sId="3">
    <oc r="A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A14"/>
  </rcc>
  <rcc rId="17902" sId="1">
    <o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ноябрь 2014г.</t>
      </is>
    </oc>
    <nc r="B14" t="inlineStr">
      <is>
        <t>Информация о технологическом присоединении энергопринимающих устройств к сетям ОАО Дагэнергосеть илиалом ОАО "МРСК Северного Кавказа" за декабрь 2014г.</t>
      </is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  <rsnm rId="17909" sheetId="1" oldName="[Сводная по поданным заявкам и заключенным договорам с присоединенной мощностью за декабрь_2014г.xlsx]ноябрь 2014г" newName="[Сводная по поданным заявкам и заключенным договорам с присоединенной мощностью за декабрь_2014г.xlsx]декабрь 2014г"/>
  <rsnm rId="17910" sheetId="3" oldName="[Сводная по поданным заявкам и заключенным договорам с присоединенной мощностью за декабрь_2014г.xlsx]ноябрь 2014г. по 6-10" newName="[Сводная по поданным заявкам и заключенным договорам с присоединенной мощностью за декабрь_2014г.xlsx]декабрь 2014г. по 6-10"/>
  <rsnm rId="17911" sheetId="4" oldName="[Сводная по поданным заявкам и заключенным договорам с присоединенной мощностью за декабрь_2014г.xlsx]ноябрь 2014г. по 0,4" newName="[Сводная по поданным заявкам и заключенным договорам с присоединенной мощностью за декабрь_2014г.xlsx]декабрь 2014г. по 0,4"/>
</revisions>
</file>

<file path=xl/revisions/revisionLog115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61.xml><?xml version="1.0" encoding="utf-8"?>
<revisions xmlns="http://schemas.openxmlformats.org/spreadsheetml/2006/main" xmlns:r="http://schemas.openxmlformats.org/officeDocument/2006/relationships">
  <rcc rId="18088" sId="4" numFmtId="4">
    <nc r="D226">
      <v>1</v>
    </nc>
  </rcc>
  <rcc rId="18089" sId="4" numFmtId="4">
    <nc r="E226">
      <v>7</v>
    </nc>
  </rcc>
  <rcc rId="18090" sId="4" numFmtId="4">
    <nc r="F226">
      <v>1</v>
    </nc>
  </rcc>
  <rcc rId="18091" sId="4" numFmtId="4">
    <nc r="G226">
      <v>7</v>
    </nc>
  </rcc>
  <rcc rId="18092" sId="3" numFmtId="4">
    <oc r="D63">
      <v>5</v>
    </oc>
    <nc r="D63">
      <v>6</v>
    </nc>
  </rcc>
  <rcc rId="18093" sId="3">
    <oc r="E63">
      <f>325+170+100+90+100</f>
    </oc>
    <nc r="E63">
      <f>325+170+100+90+100+100</f>
    </nc>
  </rcc>
  <rcc rId="18094" sId="3" numFmtId="4">
    <oc r="F63">
      <v>3</v>
    </oc>
    <nc r="F63">
      <v>4</v>
    </nc>
  </rcc>
  <rcc rId="18095" sId="3" numFmtId="4">
    <oc r="G63">
      <v>385</v>
    </oc>
    <nc r="G63">
      <v>485</v>
    </nc>
  </rcc>
  <rcc rId="18096" sId="3" numFmtId="4">
    <oc r="D197">
      <v>18</v>
    </oc>
    <nc r="D197">
      <v>19</v>
    </nc>
  </rcc>
  <rcc rId="18097" sId="3" numFmtId="4">
    <oc r="E197">
      <v>420</v>
    </oc>
    <nc r="E197">
      <v>520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71.xml><?xml version="1.0" encoding="utf-8"?>
<revisions xmlns="http://schemas.openxmlformats.org/spreadsheetml/2006/main" xmlns:r="http://schemas.openxmlformats.org/officeDocument/2006/relationships">
  <rcc rId="18122" sId="4" numFmtId="4">
    <oc r="D38">
      <v>29</v>
    </oc>
    <nc r="D38">
      <v>32</v>
    </nc>
  </rcc>
  <rcc rId="18123" sId="4">
    <oc r="E38">
      <f>7+12+15+13+13+12+7+5+35+15+2.2+8+10+14+5+9+15+14+15</f>
    </oc>
    <nc r="E38">
      <f>7+12+15+13+13+12+7+5+35+15+2.2+8+10+14+5+9+15+14+15+14</f>
    </nc>
  </rcc>
  <rcc rId="18124" sId="4" numFmtId="4">
    <oc r="F38">
      <v>19</v>
    </oc>
    <nc r="F38">
      <v>25</v>
    </nc>
  </rcc>
  <rcc rId="18125" sId="4" numFmtId="4">
    <oc r="G38">
      <v>59</v>
    </oc>
    <nc r="G38">
      <v>180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72.xml><?xml version="1.0" encoding="utf-8"?>
<revisions xmlns="http://schemas.openxmlformats.org/spreadsheetml/2006/main" xmlns:r="http://schemas.openxmlformats.org/officeDocument/2006/relationships">
  <rcc rId="18177" sId="4" numFmtId="4">
    <oc r="D177">
      <v>1</v>
    </oc>
    <nc r="D177">
      <v>10</v>
    </nc>
  </rcc>
  <rcc rId="18178" sId="4" numFmtId="4">
    <oc r="F177">
      <v>1</v>
    </oc>
    <nc r="F177">
      <v>10</v>
    </nc>
  </rcc>
  <rcc rId="18179" sId="4" numFmtId="4">
    <oc r="G177">
      <v>15</v>
    </oc>
    <nc r="G177">
      <v>135</v>
    </nc>
  </rcc>
  <rcc rId="18180" sId="4" numFmtId="4">
    <oc r="E177">
      <v>15</v>
    </oc>
    <nc r="E177">
      <v>135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81.xml><?xml version="1.0" encoding="utf-8"?>
<revisions xmlns="http://schemas.openxmlformats.org/spreadsheetml/2006/main" xmlns:r="http://schemas.openxmlformats.org/officeDocument/2006/relationships">
  <rcc rId="18112" sId="3" numFmtId="4">
    <nc r="D235">
      <v>1</v>
    </nc>
  </rcc>
  <rcc rId="18113" sId="3" numFmtId="4">
    <nc r="E235">
      <v>10</v>
    </nc>
  </rcc>
  <rcc rId="18114" sId="3" numFmtId="4">
    <nc r="F235">
      <v>1</v>
    </nc>
  </rcc>
  <rcc rId="18115" sId="3" numFmtId="4">
    <nc r="G235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82.xml><?xml version="1.0" encoding="utf-8"?>
<revisions xmlns="http://schemas.openxmlformats.org/spreadsheetml/2006/main" xmlns:r="http://schemas.openxmlformats.org/officeDocument/2006/relationships">
  <rcc rId="18292" sId="4" numFmtId="4">
    <oc r="D166">
      <v>13</v>
    </oc>
    <nc r="D166">
      <v>16</v>
    </nc>
  </rcc>
  <rcc rId="18293" sId="4" numFmtId="4">
    <oc r="E166">
      <f>5+15+8+8+10+8+8+8</f>
    </oc>
    <nc r="E166">
      <v>85</v>
    </nc>
  </rcc>
  <rcc rId="18294" sId="4" numFmtId="4">
    <oc r="F166">
      <v>8</v>
    </oc>
    <nc r="F166">
      <v>16</v>
    </nc>
  </rcc>
  <rcc rId="18295" sId="4" numFmtId="4">
    <oc r="G166">
      <v>70</v>
    </oc>
    <nc r="G166">
      <v>85</v>
    </nc>
  </rcc>
  <rcc rId="18296" sId="3" numFmtId="4">
    <nc r="D210">
      <v>1</v>
    </nc>
  </rcc>
  <rcc rId="18297" sId="3" numFmtId="4">
    <nc r="E210">
      <v>10</v>
    </nc>
  </rcc>
  <rcc rId="18298" sId="3" numFmtId="4">
    <nc r="F210">
      <v>1</v>
    </nc>
  </rcc>
  <rcc rId="18299" sId="3" numFmtId="4">
    <nc r="G210">
      <v>10</v>
    </nc>
  </rcc>
  <rcc rId="18300" sId="4" numFmtId="4">
    <oc r="D209">
      <v>2</v>
    </oc>
    <nc r="D209">
      <v>9</v>
    </nc>
  </rcc>
  <rcc rId="18301" sId="4" numFmtId="4">
    <oc r="E209">
      <f>10+15</f>
    </oc>
    <nc r="E209">
      <v>90</v>
    </nc>
  </rcc>
  <rcc rId="18302" sId="4" numFmtId="4">
    <oc r="F209">
      <v>2</v>
    </oc>
    <nc r="F209">
      <v>9</v>
    </nc>
  </rcc>
  <rcc rId="18303" sId="4" numFmtId="4">
    <oc r="G209">
      <v>25</v>
    </oc>
    <nc r="G209">
      <v>90</v>
    </nc>
  </rcc>
  <rcc rId="18304" sId="4" numFmtId="4">
    <oc r="D133">
      <v>2</v>
    </oc>
    <nc r="D133">
      <v>7</v>
    </nc>
  </rcc>
  <rcc rId="18305" sId="4">
    <oc r="E133">
      <f>15+3</f>
    </oc>
    <nc r="E133">
      <f>15+3+32</f>
    </nc>
  </rcc>
  <rcc rId="18306" sId="4" numFmtId="4">
    <oc r="F133">
      <v>2</v>
    </oc>
    <nc r="F133">
      <v>7</v>
    </nc>
  </rcc>
  <rcc rId="18307" sId="4" numFmtId="4">
    <oc r="G133">
      <v>18</v>
    </oc>
    <nc r="G133">
      <v>50</v>
    </nc>
  </rcc>
  <rcc rId="18308" sId="3" numFmtId="4">
    <oc r="D115">
      <v>1</v>
    </oc>
    <nc r="D115">
      <v>2</v>
    </nc>
  </rcc>
  <rcc rId="18309" sId="3" numFmtId="4">
    <oc r="E115">
      <v>100</v>
    </oc>
    <nc r="E115">
      <v>220</v>
    </nc>
  </rcc>
  <rcc rId="18310" sId="3" numFmtId="4">
    <oc r="F115">
      <v>1</v>
    </oc>
    <nc r="F115">
      <v>2</v>
    </nc>
  </rcc>
  <rcc rId="18311" sId="3" numFmtId="4">
    <oc r="G115">
      <v>4.4000000000000004</v>
    </oc>
    <nc r="G115">
      <v>220</v>
    </nc>
  </rcc>
  <rcc rId="18312" sId="3" numFmtId="4">
    <oc r="D58">
      <v>5</v>
    </oc>
    <nc r="D58">
      <v>6</v>
    </nc>
  </rcc>
  <rcc rId="18313" sId="3" numFmtId="4">
    <oc r="E58">
      <f>160+80+240+15+15</f>
    </oc>
    <nc r="E58">
      <v>540</v>
    </nc>
  </rcc>
  <rcc rId="18314" sId="3" numFmtId="4">
    <nc r="D211">
      <v>4</v>
    </nc>
  </rcc>
  <rcc rId="18315" sId="3" numFmtId="4">
    <nc r="E211">
      <v>100</v>
    </nc>
  </rcc>
  <rcc rId="18316" sId="3" numFmtId="4">
    <nc r="F211">
      <v>4</v>
    </nc>
  </rcc>
  <rcc rId="18317" sId="3" numFmtId="4">
    <nc r="G211">
      <v>100</v>
    </nc>
  </rcc>
  <rcc rId="18318" sId="4" numFmtId="4">
    <oc r="D208">
      <v>5</v>
    </oc>
    <nc r="D208">
      <v>9</v>
    </nc>
  </rcc>
  <rcc rId="18319" sId="4">
    <oc r="E208">
      <f>13+15+13+8+6</f>
    </oc>
    <nc r="E208">
      <f>13+15+13+8+6+40</f>
    </nc>
  </rcc>
  <rcc rId="18320" sId="4" numFmtId="4">
    <oc r="F208">
      <v>5</v>
    </oc>
    <nc r="F208">
      <v>9</v>
    </nc>
  </rcc>
  <rcc rId="18321" sId="4" numFmtId="4">
    <oc r="G208">
      <v>55</v>
    </oc>
    <nc r="G208">
      <v>95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1.xml><?xml version="1.0" encoding="utf-8"?>
<revisions xmlns="http://schemas.openxmlformats.org/spreadsheetml/2006/main" xmlns:r="http://schemas.openxmlformats.org/officeDocument/2006/relationships">
  <rcc rId="18159" sId="4" numFmtId="4">
    <oc r="D235">
      <v>1</v>
    </oc>
    <nc r="D235">
      <v>18</v>
    </nc>
  </rcc>
  <rcc rId="18160" sId="4" numFmtId="4">
    <oc r="E235">
      <v>15</v>
    </oc>
    <nc r="E235">
      <v>185</v>
    </nc>
  </rcc>
  <rcc rId="18161" sId="4" numFmtId="4">
    <oc r="F235">
      <v>1</v>
    </oc>
    <nc r="F235">
      <v>18</v>
    </nc>
  </rcc>
  <rcc rId="18162" sId="4" numFmtId="4">
    <oc r="G235">
      <v>15</v>
    </oc>
    <nc r="G235">
      <v>185</v>
    </nc>
  </rcc>
  <rcc rId="18163" sId="4" numFmtId="4">
    <oc r="D152">
      <v>74</v>
    </oc>
    <nc r="D152">
      <v>78</v>
    </nc>
  </rcc>
  <rcc rId="18164" sId="4" numFmtId="4">
    <oc r="F152">
      <v>16</v>
    </oc>
    <nc r="F152">
      <v>52</v>
    </nc>
  </rcc>
  <rcc rId="18165" sId="4" numFmtId="4">
    <oc r="E152">
      <f>5+4+10+5+5+15+5+6+5+6+6+5+3+10+15+15</f>
    </oc>
    <nc r="E152">
      <v>445</v>
    </nc>
  </rcc>
  <rcc rId="18166" sId="4" numFmtId="4">
    <oc r="G152">
      <v>74</v>
    </oc>
    <nc r="G152">
      <v>320</v>
    </nc>
  </rcc>
  <rcc rId="18167" sId="4" numFmtId="4">
    <oc r="D153">
      <v>45</v>
    </oc>
    <nc r="D153">
      <v>47</v>
    </nc>
  </rcc>
  <rcc rId="18168" sId="4" numFmtId="4">
    <oc r="F153">
      <v>5</v>
    </oc>
    <nc r="F153">
      <v>30</v>
    </nc>
  </rcc>
  <rcc rId="18169" sId="4" numFmtId="4">
    <oc r="G153">
      <v>43</v>
    </oc>
    <nc r="G153">
      <v>86</v>
    </nc>
  </rcc>
  <rcc rId="18170" sId="4" numFmtId="4">
    <oc r="E153">
      <v>120</v>
    </oc>
    <nc r="E153">
      <v>190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01.xml><?xml version="1.0" encoding="utf-8"?>
<revisions xmlns="http://schemas.openxmlformats.org/spreadsheetml/2006/main" xmlns:r="http://schemas.openxmlformats.org/officeDocument/2006/relationships">
  <rcc rId="18201" sId="3" numFmtId="4">
    <oc r="D180">
      <v>1</v>
    </oc>
    <nc r="D180">
      <v>2</v>
    </nc>
  </rcc>
  <rcc rId="18202" sId="3" numFmtId="4">
    <oc r="E180">
      <v>90</v>
    </oc>
    <nc r="E180">
      <v>160</v>
    </nc>
  </rcc>
  <rcc rId="18203" sId="3" numFmtId="4">
    <oc r="F180">
      <v>1</v>
    </oc>
    <nc r="F180">
      <v>2</v>
    </nc>
  </rcc>
  <rcc rId="18204" sId="3" numFmtId="4">
    <oc r="G180">
      <v>10</v>
    </oc>
    <nc r="G180">
      <v>160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11.xml><?xml version="1.0" encoding="utf-8"?>
<revisions xmlns="http://schemas.openxmlformats.org/spreadsheetml/2006/main" xmlns:r="http://schemas.openxmlformats.org/officeDocument/2006/relationships">
  <rcc rId="18540" sId="4" numFmtId="4">
    <oc r="D32">
      <v>21</v>
    </oc>
    <nc r="D32">
      <v>23</v>
    </nc>
  </rcc>
  <rcc rId="18541" sId="4" numFmtId="4">
    <oc r="E32">
      <v>232</v>
    </oc>
    <nc r="E32">
      <v>254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21.xml><?xml version="1.0" encoding="utf-8"?>
<revisions xmlns="http://schemas.openxmlformats.org/spreadsheetml/2006/main" xmlns:r="http://schemas.openxmlformats.org/officeDocument/2006/relationships">
  <rcc rId="18411" sId="4" numFmtId="4">
    <oc r="D90">
      <v>15</v>
    </oc>
    <nc r="D90">
      <v>17</v>
    </nc>
  </rcc>
  <rcc rId="18412" sId="4" numFmtId="4">
    <oc r="E90">
      <v>164</v>
    </oc>
    <nc r="E90">
      <v>180</v>
    </nc>
  </rcc>
  <rcc rId="18413" sId="4" numFmtId="4">
    <oc r="D97">
      <v>1</v>
    </oc>
    <nc r="D97">
      <v>3</v>
    </nc>
  </rcc>
  <rcc rId="18414" sId="4" numFmtId="4">
    <oc r="E97">
      <v>7</v>
    </oc>
    <nc r="E97">
      <v>11</v>
    </nc>
  </rcc>
  <rcc rId="18415" sId="4" numFmtId="4">
    <oc r="F97">
      <v>1</v>
    </oc>
    <nc r="F97">
      <v>3</v>
    </nc>
  </rcc>
  <rcc rId="18416" sId="4" numFmtId="4">
    <oc r="G97">
      <v>7</v>
    </oc>
    <nc r="G97">
      <v>11</v>
    </nc>
  </rcc>
  <rcc rId="18417" sId="4" numFmtId="4">
    <oc r="D194">
      <v>6</v>
    </oc>
    <nc r="D194">
      <v>26</v>
    </nc>
  </rcc>
  <rcc rId="18418" sId="4">
    <oc r="E194">
      <f>15+7+10</f>
    </oc>
    <nc r="E194">
      <f>15+7+10+100</f>
    </nc>
  </rcc>
  <rcc rId="18419" sId="4" numFmtId="4">
    <oc r="D29">
      <v>45</v>
    </oc>
    <nc r="D29">
      <v>46</v>
    </nc>
  </rcc>
  <rcc rId="18420" sId="4" numFmtId="4">
    <oc r="E29">
      <v>429</v>
    </oc>
    <nc r="E29">
      <f>429+160</f>
    </nc>
  </rcc>
  <rcc rId="18421" sId="3" numFmtId="4">
    <oc r="D32">
      <v>8</v>
    </oc>
    <nc r="D32">
      <v>12</v>
    </nc>
  </rcc>
  <rcc rId="18422" sId="3">
    <oc r="E32">
      <f>10+100+300+80+10+300+40+480</f>
    </oc>
    <nc r="E32">
      <f>10+100+300+80+10+300+40+480+422</f>
    </nc>
  </rcc>
  <rcc rId="18423" sId="3" numFmtId="4">
    <oc r="D33">
      <v>7</v>
    </oc>
    <nc r="D33">
      <v>8</v>
    </nc>
  </rcc>
  <rcc rId="18424" sId="3">
    <oc r="E33">
      <f>60+48+150+85+640+60</f>
    </oc>
    <nc r="E33">
      <f>60+48+150+85+640+60+220</f>
    </nc>
  </rcc>
  <rcc rId="18425" sId="3" numFmtId="4">
    <oc r="D41">
      <v>7</v>
    </oc>
    <nc r="D41">
      <v>8</v>
    </nc>
  </rcc>
  <rcc rId="18426" sId="3" numFmtId="4">
    <oc r="E41">
      <v>1760</v>
    </oc>
    <nc r="E41">
      <f>1760+29.25</f>
    </nc>
  </rcc>
  <rcc rId="18427" sId="4" numFmtId="4">
    <oc r="D38">
      <v>32</v>
    </oc>
    <nc r="D38">
      <v>34</v>
    </nc>
  </rcc>
  <rcc rId="18428" sId="4">
    <oc r="E38">
      <f>7+12+15+13+13+12+7+5+35+15+2.2+8+10+14+5+9+15+14+15+14</f>
    </oc>
    <nc r="E38">
      <f>7+12+15+13+13+12+7+5+35+15+2.2+8+10+14+5+9+15+14+15+14+15</f>
    </nc>
  </rcc>
  <rcc rId="18429" sId="4" numFmtId="4">
    <oc r="D106">
      <v>4</v>
    </oc>
    <nc r="D106">
      <v>7</v>
    </nc>
  </rcc>
  <rcc rId="18430" sId="4">
    <oc r="E106">
      <f>7+14.5+7+10</f>
    </oc>
    <nc r="E106">
      <f>7+14.5+7+10+26</f>
    </nc>
  </rcc>
  <rcc rId="18431" sId="4" numFmtId="4">
    <oc r="F106">
      <v>4</v>
    </oc>
    <nc r="F106">
      <v>7</v>
    </nc>
  </rcc>
  <rcc rId="18432" sId="4" numFmtId="4">
    <oc r="G106">
      <v>38.5</v>
    </oc>
    <nc r="G106">
      <v>64.5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1.xml><?xml version="1.0" encoding="utf-8"?>
<revisions xmlns="http://schemas.openxmlformats.org/spreadsheetml/2006/main" xmlns:r="http://schemas.openxmlformats.org/officeDocument/2006/relationships">
  <rcc rId="18459" sId="3" numFmtId="4">
    <oc r="F156">
      <v>20</v>
    </oc>
    <nc r="F156">
      <v>25</v>
    </nc>
  </rcc>
  <rcc rId="18460" sId="3" numFmtId="4">
    <oc r="G156">
      <v>7249.25</v>
    </oc>
    <nc r="G156">
      <f>1830+500+300+29.25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41.xml><?xml version="1.0" encoding="utf-8"?>
<revisions xmlns="http://schemas.openxmlformats.org/spreadsheetml/2006/main" xmlns:r="http://schemas.openxmlformats.org/officeDocument/2006/relationships">
  <rcc rId="18439" sId="3" numFmtId="4">
    <oc r="D107">
      <v>9</v>
    </oc>
    <nc r="D107">
      <v>10</v>
    </nc>
  </rcc>
  <rcc rId="18440" sId="3" numFmtId="4">
    <oc r="E107">
      <v>902</v>
    </oc>
    <nc r="E107">
      <f>902+29.25</f>
    </nc>
  </rcc>
  <rcc rId="18441" sId="3" numFmtId="4">
    <oc r="F107">
      <v>6</v>
    </oc>
    <nc r="F107">
      <v>7</v>
    </nc>
  </rcc>
  <rcc rId="18442" sId="3" numFmtId="4">
    <oc r="G107">
      <v>560</v>
    </oc>
    <nc r="G107">
      <v>589.25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51.xml><?xml version="1.0" encoding="utf-8"?>
<revisions xmlns="http://schemas.openxmlformats.org/spreadsheetml/2006/main" xmlns:r="http://schemas.openxmlformats.org/officeDocument/2006/relationships">
  <rcc rId="18711" sId="3">
    <oc r="E136">
      <f>336+29.25</f>
    </oc>
    <nc r="E136">
      <f>306+29.25</f>
    </nc>
  </rcc>
  <rcc rId="18712" sId="3" numFmtId="4">
    <oc r="E139">
      <v>155</v>
    </oc>
    <nc r="E139">
      <v>105</v>
    </nc>
  </rcc>
  <rcc rId="18713" sId="3" numFmtId="4">
    <oc r="E141">
      <v>120</v>
    </oc>
    <nc r="E141">
      <v>10</v>
    </nc>
  </rcc>
  <rcc rId="18714" sId="3" numFmtId="4">
    <oc r="E147">
      <v>120</v>
    </oc>
    <nc r="E147">
      <v>70</v>
    </nc>
  </rcc>
  <rcc rId="18715" sId="3" numFmtId="4">
    <oc r="E149">
      <v>520</v>
    </oc>
    <nc r="E149">
      <v>320</v>
    </nc>
  </rcc>
  <rcc rId="18716" sId="3">
    <oc r="E161">
      <v>175</v>
    </oc>
    <nc r="E161">
      <v>10</v>
    </nc>
  </rcc>
  <rcc rId="18717" sId="3" numFmtId="4">
    <oc r="E162">
      <v>63</v>
    </oc>
    <nc r="E162">
      <v>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61.xml><?xml version="1.0" encoding="utf-8"?>
<revisions xmlns="http://schemas.openxmlformats.org/spreadsheetml/2006/main" xmlns:r="http://schemas.openxmlformats.org/officeDocument/2006/relationships">
  <rcc rId="18558" sId="4" numFmtId="4">
    <oc r="D198">
      <v>3</v>
    </oc>
    <nc r="D198">
      <v>7</v>
    </nc>
  </rcc>
  <rcc rId="18559" sId="4">
    <oc r="E198">
      <f>15+10+3</f>
    </oc>
    <nc r="E198">
      <f>15+10+3+25</f>
    </nc>
  </rcc>
  <rcc rId="18560" sId="4" numFmtId="4">
    <oc r="D109">
      <v>11</v>
    </oc>
    <nc r="D109">
      <v>13</v>
    </nc>
  </rcc>
  <rcc rId="18561" sId="4">
    <oc r="E109">
      <f>6+4+5+5+3+7+7+5+7+5+7</f>
    </oc>
    <nc r="E109">
      <f>6+4+5+5+3+7+7+5+7+5+7+8</f>
    </nc>
  </rcc>
  <rcc rId="18562" sId="4" numFmtId="4">
    <oc r="D175">
      <v>15</v>
    </oc>
    <nc r="D175">
      <v>19</v>
    </nc>
  </rcc>
  <rcc rId="18563" sId="4">
    <oc r="E175">
      <f>15+10+15+15+10+15+10+15+10+10</f>
    </oc>
    <nc r="E175">
      <f>15+10+15+15+10+15+10+15+10+10+48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21.xml><?xml version="1.0" encoding="utf-8"?>
<revisions xmlns="http://schemas.openxmlformats.org/spreadsheetml/2006/main" xmlns:r="http://schemas.openxmlformats.org/officeDocument/2006/relationships">
  <rcc rId="18528" sId="4" numFmtId="4">
    <oc r="D237">
      <v>47</v>
    </oc>
    <nc r="D237">
      <v>49</v>
    </nc>
  </rcc>
  <rcc rId="18529" sId="4" numFmtId="4">
    <oc r="E237">
      <v>375.5</v>
    </oc>
    <nc r="E237">
      <f>375.5+16</f>
    </nc>
  </rcc>
  <rcc rId="18530" sId="3" numFmtId="4">
    <nc r="D47">
      <v>1</v>
    </nc>
  </rcc>
  <rcc rId="18531" sId="3" numFmtId="4">
    <nc r="E47">
      <v>75</v>
    </nc>
  </rcc>
  <rcc rId="18532" sId="3" numFmtId="4">
    <oc r="D125">
      <v>1</v>
    </oc>
    <nc r="D125">
      <v>2</v>
    </nc>
  </rcc>
  <rcc rId="18533" sId="3" numFmtId="4">
    <oc r="E125">
      <v>98</v>
    </oc>
    <nc r="E125">
      <v>189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431.xml><?xml version="1.0" encoding="utf-8"?>
<revisions xmlns="http://schemas.openxmlformats.org/spreadsheetml/2006/main" xmlns:r="http://schemas.openxmlformats.org/officeDocument/2006/relationships">
  <rcc rId="18724" sId="1">
    <oc r="J248">
      <v>2161</v>
    </oc>
    <nc r="J248">
      <v>2761</v>
    </nc>
  </rcc>
  <rcc rId="18725" sId="4">
    <nc r="K245">
      <v>16828.7</v>
    </nc>
  </rcc>
  <rcc rId="18726" sId="4">
    <nc r="J245">
      <v>2337</v>
    </nc>
  </rcc>
  <rcc rId="18727" sId="3">
    <nc r="J248">
      <v>337</v>
    </nc>
  </rcc>
  <rcc rId="18728" sId="3">
    <nc r="K248">
      <v>17188</v>
    </nc>
  </rcc>
  <ris rId="18729" sheetId="9" name="[Сводная по поданным заявкам и заключенным договорам с присоединенной мощностью за декабрь_2014г.xlsx]Лист5" sheetPosition="8"/>
  <rcc rId="18730" sId="9">
    <nc r="A1" t="inlineStr">
      <is>
        <t>исполненные</t>
      </is>
    </nc>
  </rcc>
  <rcc rId="18731" sId="9">
    <nc r="B1" t="inlineStr">
      <is>
        <t>дек</t>
      </is>
    </nc>
  </rcc>
  <rcc rId="18732" sId="9">
    <nc r="C1" t="inlineStr">
      <is>
        <t>ноя</t>
      </is>
    </nc>
  </rcc>
  <rcc rId="18733" sId="9">
    <nc r="D1" t="inlineStr">
      <is>
        <t>окт</t>
      </is>
    </nc>
  </rcc>
  <rcc rId="18734" sId="9">
    <nc r="E1" t="inlineStr">
      <is>
        <t>сент</t>
      </is>
    </nc>
  </rcc>
  <rcc rId="18735" sId="9">
    <nc r="F1" t="inlineStr">
      <is>
        <t>авг</t>
      </is>
    </nc>
  </rcc>
  <rcc rId="18736" sId="9">
    <nc r="G1" t="inlineStr">
      <is>
        <t>июл</t>
      </is>
    </nc>
  </rcc>
  <rcc rId="18737" sId="9">
    <nc r="H1" t="inlineStr">
      <is>
        <t>июн</t>
      </is>
    </nc>
  </rcc>
  <rcc rId="18738" sId="9">
    <nc r="I1" t="inlineStr">
      <is>
        <t>май</t>
      </is>
    </nc>
  </rcc>
  <rcc rId="18739" sId="9">
    <nc r="J1" t="inlineStr">
      <is>
        <t>апр</t>
      </is>
    </nc>
  </rcc>
  <rcc rId="18740" sId="9">
    <nc r="K1" t="inlineStr">
      <is>
        <t>март</t>
      </is>
    </nc>
  </rcc>
  <rcc rId="18741" sId="9">
    <nc r="L1" t="inlineStr">
      <is>
        <t>фев</t>
      </is>
    </nc>
  </rcc>
  <rcc rId="18742" sId="9">
    <nc r="M1" t="inlineStr">
      <is>
        <t>янв</t>
      </is>
    </nc>
  </rcc>
  <rcc rId="18743" sId="9">
    <nc r="B2" t="inlineStr">
      <is>
        <t>квт 6-10</t>
      </is>
    </nc>
  </rcc>
  <rcc rId="18744" sId="9">
    <nc r="N2" t="inlineStr">
      <is>
        <t>итоги</t>
      </is>
    </nc>
  </rcc>
  <rcc rId="18745" sId="9">
    <nc r="A3">
      <v>0.4</v>
    </nc>
  </rcc>
  <rcc rId="18746" sId="9" odxf="1" dxf="1" numFmtId="4">
    <nc r="B3">
      <v>1810.5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47" sId="9" odxf="1" dxf="1" numFmtId="4">
    <nc r="C3">
      <v>1725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48" sId="9" odxf="1" dxf="1" numFmtId="4">
    <nc r="D3">
      <v>1737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9" sqref="E3" start="0" length="0">
    <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749" sId="9" odxf="1" dxf="1" numFmtId="4">
    <nc r="F3">
      <v>1101.5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0" sId="9" odxf="1" dxf="1" numFmtId="4">
    <nc r="G3">
      <v>1362.5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1" sId="9" odxf="1" dxf="1" numFmtId="4">
    <nc r="H3">
      <v>1234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2" sId="9" odxf="1" dxf="1" numFmtId="4">
    <nc r="I3">
      <v>1118.7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3" sId="9" odxf="1" dxf="1" numFmtId="4">
    <nc r="J3">
      <v>825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4" sId="9" odxf="1" dxf="1" numFmtId="4">
    <nc r="K3">
      <v>772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5" sId="9" odxf="1" dxf="1" numFmtId="4">
    <nc r="L3">
      <v>399.5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6" sId="9" odxf="1" dxf="1" numFmtId="4">
    <nc r="M3">
      <v>1884.2</v>
    </nc>
    <odxf>
      <font>
        <b val="0"/>
        <sz val="10"/>
        <color auto="1"/>
        <name val="Arial Cyr"/>
        <scheme val="none"/>
      </font>
      <numFmt numFmtId="0" formatCode="General"/>
      <fill>
        <patternFill patternType="none">
          <bgColor indexed="65"/>
        </patternFill>
      </fill>
      <alignment vertical="bottom" wrapText="0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fill>
        <patternFill patternType="solid">
          <bgColor theme="0"/>
        </patternFill>
      </fill>
      <alignment vertical="center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57" sId="9">
    <nc r="N3">
      <f>SUM(B3:M3)</f>
    </nc>
  </rcc>
  <rcc rId="18758" sId="9">
    <nc r="B4" t="inlineStr">
      <is>
        <t>квт 6-10</t>
      </is>
    </nc>
  </rcc>
  <rcc rId="18759" sId="9" odxf="1" dxf="1">
    <nc r="A5">
      <v>2577.8000000000002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0" sId="9" odxf="1" dxf="1">
    <nc r="B5">
      <v>2577.8000000000002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9" sqref="C5" start="0" length="0">
    <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761" sId="9" odxf="1" dxf="1">
    <nc r="D5">
      <v>231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9" sqref="E5" start="0" length="0">
    <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18762" sId="9" odxf="1" dxf="1">
    <nc r="F5">
      <v>356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3" sId="9" odxf="1" dxf="1">
    <nc r="G5">
      <v>65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4" sId="9" odxf="1" dxf="1">
    <nc r="H5">
      <v>1155.7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5" sId="9" odxf="1" dxf="1" numFmtId="4">
    <nc r="I5">
      <v>279.5</v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6" sId="9" odxf="1" dxf="1">
    <nc r="J5">
      <v>74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7" sId="9" odxf="1" dxf="1">
    <nc r="K5">
      <v>56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8" sId="9" odxf="1" dxf="1">
    <nc r="L5">
      <v>338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69" sId="9" odxf="1" dxf="1">
    <nc r="M5">
      <v>93</v>
    </nc>
    <odxf>
      <font>
        <b val="0"/>
        <sz val="10"/>
        <color auto="1"/>
        <name val="Arial Cyr"/>
        <scheme val="none"/>
      </font>
      <border outline="0">
        <left/>
        <right/>
        <top/>
        <bottom/>
      </border>
    </odxf>
    <ndxf>
      <font>
        <b/>
        <sz val="10"/>
        <color auto="1"/>
        <name val="Arial Cyr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0" sId="9">
    <nc r="N5">
      <f>SUM(B5:M5)</f>
    </nc>
  </rcc>
  <rfmt sheetId="9" sqref="C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D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E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F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G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H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I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J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K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L6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M6" start="0" length="0">
    <dxf>
      <font>
        <b/>
        <sz val="11"/>
        <color auto="1"/>
        <name val="Times New Roman"/>
        <scheme val="none"/>
      </font>
      <alignment vertical="center" readingOrder="0"/>
    </dxf>
  </rfmt>
  <rcc rId="18771" sId="9">
    <nc r="A7" t="inlineStr">
      <is>
        <t>итого</t>
      </is>
    </nc>
  </rcc>
  <rcc rId="18772" sId="9" odxf="1" dxf="1">
    <nc r="B7">
      <f>B5+B3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3" sId="9" odxf="1" dxf="1">
    <nc r="C7">
      <f>C5+C3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4" sId="9" odxf="1" dxf="1">
    <nc r="D7">
      <f>D5+D3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5" sId="9" odxf="1" dxf="1">
    <nc r="E7">
      <f>E5+E3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6" sId="9" odxf="1" dxf="1">
    <nc r="F7">
      <f>F5+F3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7" sId="9" odxf="1" dxf="1">
    <nc r="G7">
      <f>G5+G3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8" sId="9" odxf="1" dxf="1">
    <nc r="H7">
      <f>H5+H3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79" sId="9" odxf="1" dxf="1">
    <nc r="I7">
      <f>I5+I3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0" sId="9" odxf="1" dxf="1">
    <nc r="J7">
      <f>J5+J3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1" sId="9" odxf="1" dxf="1">
    <nc r="K7">
      <f>K5+K3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2" sId="9" odxf="1" dxf="1">
    <nc r="L7">
      <f>L5+L3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3" sId="9" odxf="1" dxf="1">
    <nc r="M7">
      <f>M5+M3</f>
    </nc>
    <odxf>
      <font>
        <b val="0"/>
        <sz val="10"/>
        <color auto="1"/>
        <name val="Arial Cyr"/>
        <scheme val="none"/>
      </font>
      <numFmt numFmtId="0" formatCode="General"/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numFmt numFmtId="165" formatCode="0.0"/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4" sId="9">
    <nc r="N7">
      <f>SUM(B7:M7)</f>
    </nc>
  </rcc>
  <rfmt sheetId="9" sqref="B8" start="0" length="0">
    <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9" sqref="C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D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E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F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G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H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I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J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K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L8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M8" start="0" length="0">
    <dxf>
      <font>
        <b/>
        <sz val="11"/>
        <color auto="1"/>
        <name val="Times New Roman"/>
        <scheme val="none"/>
      </font>
      <alignment vertical="center" readingOrder="0"/>
    </dxf>
  </rfmt>
  <rcc rId="18785" sId="9" odxf="1" dxf="1">
    <nc r="B9">
      <v>360</v>
    </nc>
    <odxf>
      <font>
        <b val="0"/>
        <sz val="10"/>
        <color auto="1"/>
        <name val="Arial Cyr"/>
        <scheme val="none"/>
      </font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86" sId="9" odxf="1" dxf="1">
    <nc r="C9">
      <v>260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87" sId="9" odxf="1" dxf="1">
    <nc r="D9">
      <v>272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88" sId="9" odxf="1" dxf="1">
    <nc r="E9">
      <v>370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89" sId="9" odxf="1" dxf="1">
    <nc r="F9">
      <v>164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0" sId="9" odxf="1" dxf="1">
    <nc r="G9">
      <v>242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1" sId="9" odxf="1" dxf="1">
    <nc r="H9">
      <v>197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2" sId="9" odxf="1" dxf="1">
    <nc r="I9">
      <v>198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3" sId="9" odxf="1" dxf="1">
    <nc r="J9">
      <v>155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4" sId="9" odxf="1" dxf="1">
    <nc r="K9">
      <v>93</v>
    </nc>
    <odxf>
      <font>
        <b val="0"/>
        <sz val="10"/>
        <color auto="1"/>
        <name val="Arial Cyr"/>
        <scheme val="none"/>
      </font>
      <alignment vertical="bottom" readingOrder="0"/>
      <border outline="0">
        <left/>
        <right/>
        <top/>
        <bottom/>
      </border>
    </odxf>
    <n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18795" sId="9" odxf="1" dxf="1">
    <nc r="L9">
      <v>82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6" sId="9" odxf="1" dxf="1">
    <nc r="M9">
      <f>108+173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797" sId="9">
    <nc r="N9">
      <f>SUM(B9:M9)</f>
    </nc>
  </rcc>
  <rfmt sheetId="9" sqref="B10" start="0" length="0">
    <dxf>
      <font>
        <b/>
        <sz val="11"/>
        <color auto="1"/>
        <name val="Times New Roman"/>
        <scheme val="none"/>
      </font>
      <alignment vertical="center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9" sqref="C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D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E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F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G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H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I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J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K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L10" start="0" length="0">
    <dxf>
      <font>
        <b/>
        <sz val="11"/>
        <color auto="1"/>
        <name val="Times New Roman"/>
        <scheme val="none"/>
      </font>
      <alignment vertical="center" readingOrder="0"/>
    </dxf>
  </rfmt>
  <rfmt sheetId="9" sqref="M10" start="0" length="0">
    <dxf>
      <font>
        <b/>
        <sz val="11"/>
        <color auto="1"/>
        <name val="Times New Roman"/>
        <scheme val="none"/>
      </font>
      <alignment vertical="center" readingOrder="0"/>
    </dxf>
  </rfmt>
  <rcc rId="18798" sId="9">
    <nc r="A11" t="inlineStr">
      <is>
        <t>6-10.</t>
      </is>
    </nc>
  </rcc>
  <rcc rId="18799" sId="9" odxf="1" dxf="1">
    <nc r="B11">
      <v>70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0" sId="9" odxf="1" dxf="1">
    <nc r="C11">
      <v>65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1" sId="9" odxf="1" dxf="1">
    <nc r="D11">
      <v>15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2" sId="9" odxf="1" dxf="1">
    <nc r="E11">
      <v>97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3" sId="9" odxf="1" dxf="1">
    <nc r="F11">
      <v>12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4" sId="9" odxf="1" dxf="1">
    <nc r="G11">
      <v>6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5" sId="9" odxf="1" dxf="1">
    <nc r="H11">
      <v>26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6" sId="9" odxf="1" dxf="1">
    <nc r="I11">
      <v>22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7" sId="9" odxf="1" dxf="1">
    <nc r="J11">
      <v>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8" sId="9" odxf="1" dxf="1">
    <nc r="K11">
      <v>6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09" sId="9" odxf="1" dxf="1">
    <nc r="L11">
      <v>4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0" sId="9" odxf="1" dxf="1">
    <nc r="M11">
      <v>7</v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1" sId="9">
    <nc r="N11">
      <f>SUM(B11:M11)</f>
    </nc>
  </rcc>
  <rcc rId="18812" sId="9">
    <nc r="A12">
      <v>0.4</v>
    </nc>
  </rcc>
  <rcc rId="18813" sId="9" odxf="1" dxf="1">
    <nc r="B12">
      <f>B9-B11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4" sId="9" odxf="1" dxf="1">
    <nc r="C12">
      <f>C9-C11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5" sId="9" odxf="1" dxf="1">
    <nc r="D12">
      <f>D9-D11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6" sId="9" odxf="1" dxf="1">
    <nc r="E12">
      <f>E9-E11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7" sId="9" odxf="1" dxf="1">
    <nc r="F12">
      <f>F9-F11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8" sId="9" odxf="1" dxf="1">
    <nc r="G12">
      <f>G9-G11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19" sId="9" odxf="1" dxf="1">
    <nc r="H12">
      <f>H9-H11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0" sId="9" odxf="1" dxf="1">
    <nc r="I12">
      <f>I9-I11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1" sId="9" odxf="1" dxf="1">
    <nc r="J12">
      <f>J9-J11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2" sId="9" odxf="1" dxf="1">
    <nc r="K12">
      <f>K9-K11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3" sId="9" odxf="1" dxf="1">
    <nc r="L12">
      <f>L9-L11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4" sId="9" odxf="1" dxf="1">
    <nc r="M12">
      <f>M9-M11</f>
    </nc>
    <odxf>
      <font>
        <b val="0"/>
        <sz val="10"/>
        <color auto="1"/>
        <name val="Arial Cyr"/>
        <scheme val="none"/>
      </font>
      <alignment vertical="bottom" readingOrder="0"/>
    </odxf>
    <ndxf>
      <font>
        <b/>
        <sz val="11"/>
        <color auto="1"/>
        <name val="Times New Roman"/>
        <scheme val="none"/>
      </font>
      <alignment vertical="center" readingOrder="0"/>
    </ndxf>
  </rcc>
  <rcc rId="18825" sId="9">
    <nc r="N12">
      <f>SUM(B12:M12)</f>
    </nc>
  </rcc>
  <rcc rId="18826" sId="9">
    <nc r="O3">
      <v>16105</v>
    </nc>
  </rcc>
  <rfmt sheetId="9" sqref="O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165" formatCode="0.0"/>
      <fill>
        <patternFill patternType="solid">
          <fgColor indexed="64"/>
          <bgColor theme="0"/>
        </patternFill>
      </fill>
      <alignment horizontal="general" vertical="center" textRotation="0" wrapText="1" indent="0" relative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</rfmt>
  <rcc rId="18827" sId="9" odxf="1" dxf="1">
    <nc r="P3">
      <f>O3-N3</f>
    </nc>
    <odxf>
      <numFmt numFmtId="0" formatCode="General"/>
    </odxf>
    <ndxf>
      <numFmt numFmtId="165" formatCode="0.0"/>
    </ndxf>
  </rcc>
  <rcc rId="18828" sId="9">
    <nc r="O7">
      <v>34006</v>
    </nc>
  </rcc>
  <rcc rId="18829" sId="9">
    <nc r="P7">
      <f>O7-N7</f>
    </nc>
  </rcc>
  <rcc rId="18830" sId="9">
    <nc r="C5">
      <v>6097</v>
    </nc>
  </rcc>
  <rcc rId="18831" sId="9">
    <nc r="E5">
      <v>6532</v>
    </nc>
  </rcc>
  <rcc rId="18832" sId="9" numFmtId="4">
    <nc r="E3">
      <v>2135.3000000000002</v>
    </nc>
  </rcc>
  <rcc rId="18833" sId="1">
    <oc r="D248">
      <v>3264</v>
    </oc>
    <nc r="D248">
      <v>3284</v>
    </nc>
  </rcc>
  <rcc rId="18834" sId="1">
    <oc r="E248">
      <v>75520</v>
    </oc>
    <nc r="E248">
      <v>94202</v>
    </nc>
  </rcc>
  <rcc rId="18835" sId="9">
    <nc r="M14" t="inlineStr">
      <is>
        <t xml:space="preserve">крайновка </t>
      </is>
    </nc>
  </rcc>
  <rcc rId="18836" sId="9">
    <nc r="N14">
      <v>1500</v>
    </nc>
  </rcc>
  <rrc rId="18837" sId="9" eol="1" ref="A15:XFD15" action="insertRow"/>
  <rcc rId="18838" sId="9">
    <nc r="M15" t="inlineStr">
      <is>
        <t>шамхал</t>
      </is>
    </nc>
  </rcc>
  <rcc rId="18839" sId="9">
    <nc r="N15">
      <v>700</v>
    </nc>
  </rcc>
  <rrc rId="18840" sId="9" eol="1" ref="A16:XFD16" action="insertRow"/>
  <rcc rId="18841" sId="9">
    <nc r="M16" t="inlineStr">
      <is>
        <t>махачкала</t>
      </is>
    </nc>
  </rcc>
  <rcc rId="18842" sId="9">
    <nc r="N16">
      <v>2000</v>
    </nc>
  </rcc>
  <rrc rId="18843" sId="9" eol="1" ref="A17:XFD17" action="insertRow"/>
  <rcc rId="18844" sId="9">
    <nc r="M17" t="inlineStr">
      <is>
        <t>кизляр 1</t>
      </is>
    </nc>
  </rcc>
  <rcc rId="18845" sId="9">
    <nc r="N17">
      <v>12400</v>
    </nc>
  </rcc>
  <rrc rId="18846" sId="9" ref="M1:M1048576" action="deleteCol">
    <undo index="0" exp="area" dr="B12:M12" r="N12" sId="9"/>
    <undo index="0" exp="area" dr="B11:M11" r="N11" sId="9"/>
    <undo index="0" exp="area" dr="B9:M9" r="N9" sId="9"/>
    <undo index="0" exp="area" dr="B7:M7" r="N7" sId="9"/>
    <undo index="0" exp="area" dr="B5:M5" r="N5" sId="9"/>
    <undo index="0" exp="area" dr="B3:M3" r="N3" sId="9"/>
    <rfmt sheetId="9" xfDxf="1" sqref="M1:M1048576" start="0" length="0"/>
    <rcc rId="0" sId="9">
      <nc r="M1" t="inlineStr">
        <is>
          <t>янв</t>
        </is>
      </nc>
    </rcc>
    <rcc rId="0" sId="9" dxf="1" numFmtId="4">
      <nc r="M3">
        <v>1884.2</v>
      </nc>
      <ndxf>
        <font>
          <b/>
          <sz val="11"/>
          <color auto="1"/>
          <name val="Times New Roman"/>
          <scheme val="none"/>
        </font>
        <numFmt numFmtId="165" formatCode="0.0"/>
        <fill>
          <patternFill patternType="solid">
            <bgColor theme="0"/>
          </patternFill>
        </fill>
        <alignment vertical="center" wrapTex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9" dxf="1">
      <nc r="M5">
        <v>93</v>
      </nc>
      <ndxf>
        <font>
          <b/>
          <sz val="10"/>
          <color auto="1"/>
          <name val="Arial Cyr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M6" start="0" length="0">
      <dxf>
        <font>
          <b/>
          <sz val="11"/>
          <color auto="1"/>
          <name val="Times New Roman"/>
          <scheme val="none"/>
        </font>
        <alignment vertical="center" readingOrder="0"/>
      </dxf>
    </rfmt>
    <rcc rId="0" sId="9" dxf="1">
      <nc r="M7">
        <f>M5+M3</f>
      </nc>
      <ndxf>
        <font>
          <b/>
          <sz val="11"/>
          <color auto="1"/>
          <name val="Times New Roman"/>
          <scheme val="none"/>
        </font>
        <numFmt numFmtId="165" formatCode="0.0"/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9" sqref="M8" start="0" length="0">
      <dxf>
        <font>
          <b/>
          <sz val="11"/>
          <color auto="1"/>
          <name val="Times New Roman"/>
          <scheme val="none"/>
        </font>
        <alignment vertical="center" readingOrder="0"/>
      </dxf>
    </rfmt>
    <rcc rId="0" sId="9" dxf="1">
      <nc r="M9">
        <f>108+173</f>
      </nc>
      <ndxf>
        <font>
          <b/>
          <sz val="11"/>
          <color auto="1"/>
          <name val="Times New Roman"/>
          <scheme val="none"/>
        </font>
        <alignment vertical="center" readingOrder="0"/>
      </ndxf>
    </rcc>
    <rfmt sheetId="9" sqref="M10" start="0" length="0">
      <dxf>
        <font>
          <b/>
          <sz val="11"/>
          <color auto="1"/>
          <name val="Times New Roman"/>
          <scheme val="none"/>
        </font>
        <alignment vertical="center" readingOrder="0"/>
      </dxf>
    </rfmt>
    <rcc rId="0" sId="9" dxf="1">
      <nc r="M11">
        <v>7</v>
      </nc>
      <ndxf>
        <font>
          <b/>
          <sz val="11"/>
          <color auto="1"/>
          <name val="Times New Roman"/>
          <scheme val="none"/>
        </font>
        <alignment vertical="center" readingOrder="0"/>
      </ndxf>
    </rcc>
    <rcc rId="0" sId="9" dxf="1">
      <nc r="M12">
        <f>M9-M11</f>
      </nc>
      <ndxf>
        <font>
          <b/>
          <sz val="11"/>
          <color auto="1"/>
          <name val="Times New Roman"/>
          <scheme val="none"/>
        </font>
        <alignment vertical="center" readingOrder="0"/>
      </ndxf>
    </rcc>
    <rcc rId="0" sId="9">
      <nc r="M14" t="inlineStr">
        <is>
          <t xml:space="preserve">крайновка </t>
        </is>
      </nc>
    </rcc>
    <rcc rId="0" sId="9">
      <nc r="M15" t="inlineStr">
        <is>
          <t>шамхал</t>
        </is>
      </nc>
    </rcc>
    <rcc rId="0" sId="9">
      <nc r="M16" t="inlineStr">
        <is>
          <t>махачкала</t>
        </is>
      </nc>
    </rcc>
    <rcc rId="0" sId="9">
      <nc r="M17" t="inlineStr">
        <is>
          <t>кизляр 1</t>
        </is>
      </nc>
    </rcc>
  </rrc>
  <rrc rId="18847" sId="9" ref="M1:M1048576" action="deleteCol">
    <undo index="1" exp="ref" v="1" dr="M7" r="O7" sId="9"/>
    <undo index="1" exp="ref" v="1" dr="M3" r="O3" sId="9"/>
    <rfmt sheetId="9" xfDxf="1" sqref="M1:M1048576" start="0" length="0"/>
    <rcc rId="0" sId="9">
      <nc r="M2" t="inlineStr">
        <is>
          <t>итоги</t>
        </is>
      </nc>
    </rcc>
    <rcc rId="0" sId="9">
      <nc r="M3">
        <f>SUM(B3:L3)</f>
      </nc>
    </rcc>
    <rcc rId="0" sId="9">
      <nc r="M5">
        <f>SUM(B5:L5)</f>
      </nc>
    </rcc>
    <rcc rId="0" sId="9">
      <nc r="M7">
        <f>SUM(B7:L7)</f>
      </nc>
    </rcc>
    <rcc rId="0" sId="9">
      <nc r="M9">
        <f>SUM(B9:L9)</f>
      </nc>
    </rcc>
    <rcc rId="0" sId="9">
      <nc r="M11">
        <f>SUM(B11:L11)</f>
      </nc>
    </rcc>
    <rcc rId="0" sId="9">
      <nc r="M12">
        <f>SUM(B12:L12)</f>
      </nc>
    </rcc>
    <rcc rId="0" sId="9">
      <nc r="M14">
        <v>1500</v>
      </nc>
    </rcc>
    <rcc rId="0" sId="9">
      <nc r="M15">
        <v>700</v>
      </nc>
    </rcc>
    <rcc rId="0" sId="9">
      <nc r="M16">
        <v>2000</v>
      </nc>
    </rcc>
    <rcc rId="0" sId="9">
      <nc r="M17">
        <v>12400</v>
      </nc>
    </rcc>
  </rrc>
  <rcc rId="18848" sId="3" numFmtId="4">
    <oc r="D164">
      <v>1</v>
    </oc>
    <nc r="D164">
      <v>2</v>
    </nc>
  </rcc>
  <rcc rId="18849" sId="3" numFmtId="4">
    <oc r="F164">
      <v>1</v>
    </oc>
    <nc r="F164">
      <v>2</v>
    </nc>
  </rcc>
  <rcc rId="18850" sId="3">
    <oc r="D36">
      <v>19</v>
    </oc>
    <nc r="D36">
      <v>20</v>
    </nc>
  </rcc>
  <rcc rId="18851" sId="3">
    <oc r="E36">
      <f>50+150+18+160+90+200+75+15+150+50+86+20+6+400+15+15+40+55+300+400</f>
    </oc>
    <nc r="E36">
      <f>50+150+18+160+90+200+75+15+150+50+86+20+6+400+15+15+40+55+300+400+700</f>
    </nc>
  </rcc>
  <rcc rId="18852" sId="3">
    <oc r="F36">
      <v>19</v>
    </oc>
    <nc r="F36">
      <v>20</v>
    </nc>
  </rcc>
  <rcc rId="18853" sId="3" numFmtId="4">
    <oc r="D26">
      <v>15</v>
    </oc>
    <nc r="D26">
      <v>16</v>
    </nc>
  </rcc>
  <rcc rId="18854" sId="3">
    <oc r="E26">
      <f>80+100+200+800+120+60</f>
    </oc>
    <nc r="E26">
      <f>80+100+200+800+120+60+2000</f>
    </nc>
  </rcc>
  <rcc rId="18855" sId="3" numFmtId="4">
    <oc r="E164">
      <v>75</v>
    </oc>
    <nc r="E164">
      <v>1575</v>
    </nc>
  </rcc>
  <rcc rId="18856" sId="3" numFmtId="4">
    <oc r="G164">
      <v>10</v>
    </oc>
    <nc r="G164">
      <v>1575</v>
    </nc>
  </rcc>
  <rrc rId="18857" sId="9" eol="1" ref="A15:XFD15" action="insertRow"/>
  <rcc rId="18858" sId="9">
    <nc r="M15">
      <v>1500</v>
    </nc>
  </rcc>
  <rcc rId="18859" sId="9">
    <nc r="L15" t="inlineStr">
      <is>
        <t>крайновка</t>
      </is>
    </nc>
  </rcc>
  <rrc rId="18860" sId="9" eol="1" ref="A16:XFD16" action="insertRow"/>
  <rcc rId="18861" sId="9">
    <nc r="L16" t="inlineStr">
      <is>
        <t>шамхал</t>
      </is>
    </nc>
  </rcc>
  <rcc rId="18862" sId="9">
    <nc r="M16">
      <v>700</v>
    </nc>
  </rcc>
  <rrc rId="18863" sId="9" eol="1" ref="A17:XFD17" action="insertRow"/>
  <rcc rId="18864" sId="9">
    <nc r="L17" t="inlineStr">
      <is>
        <t>махачкала</t>
      </is>
    </nc>
  </rcc>
  <rcc rId="18865" sId="9">
    <nc r="M17">
      <v>2000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521.xml><?xml version="1.0" encoding="utf-8"?>
<revisions xmlns="http://schemas.openxmlformats.org/spreadsheetml/2006/main" xmlns:r="http://schemas.openxmlformats.org/officeDocument/2006/relationships">
  <rcc rId="18578" sId="3" numFmtId="4">
    <oc r="D169">
      <v>3</v>
    </oc>
    <nc r="D169">
      <v>4</v>
    </nc>
  </rcc>
  <rcc rId="18579" sId="3" numFmtId="4">
    <oc r="E169">
      <v>190</v>
    </oc>
    <nc r="E169">
      <v>219.25</v>
    </nc>
  </rcc>
  <rcc rId="18580" sId="3" numFmtId="4">
    <oc r="D136">
      <v>2</v>
    </oc>
    <nc r="D136">
      <v>3</v>
    </nc>
  </rcc>
  <rcc rId="18581" sId="3" numFmtId="4">
    <oc r="E136">
      <v>336</v>
    </oc>
    <nc r="E136">
      <f>336+29.25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012.xml><?xml version="1.0" encoding="utf-8"?>
<revisions xmlns="http://schemas.openxmlformats.org/spreadsheetml/2006/main" xmlns:r="http://schemas.openxmlformats.org/officeDocument/2006/relationships">
  <rcc rId="18679" sId="1" odxf="1" dxf="1">
    <nc r="E250">
      <f>E246-E248</f>
    </nc>
    <odxf>
      <numFmt numFmtId="0" formatCode="General"/>
    </odxf>
    <ndxf>
      <numFmt numFmtId="164" formatCode="#,##0.00_р_."/>
    </ndxf>
  </rcc>
  <rcc rId="18680" sId="1" odxf="1" dxf="1">
    <nc r="D250">
      <f>D246-D248</f>
    </nc>
    <odxf>
      <numFmt numFmtId="0" formatCode="General"/>
    </odxf>
    <ndxf>
      <numFmt numFmtId="3" formatCode="#,##0"/>
    </ndxf>
  </rcc>
  <rcc rId="18681" sId="3" numFmtId="4">
    <oc r="E70">
      <v>645</v>
    </oc>
    <nc r="E70">
      <v>345</v>
    </nc>
  </rcc>
  <rcc rId="18682" sId="3" numFmtId="4">
    <oc r="E74">
      <v>480</v>
    </oc>
    <nc r="E74">
      <v>380</v>
    </nc>
  </rcc>
  <rcc rId="18683" sId="3" numFmtId="4">
    <oc r="E77">
      <v>740</v>
    </oc>
    <nc r="E77">
      <v>340</v>
    </nc>
  </rcc>
  <rcc rId="18684" sId="3" numFmtId="4">
    <oc r="D85">
      <v>1</v>
    </oc>
    <nc r="D85"/>
  </rcc>
  <rcc rId="18685" sId="3" numFmtId="4">
    <oc r="E85">
      <v>145</v>
    </oc>
    <nc r="E85"/>
  </rcc>
  <rcc rId="18686" sId="3" numFmtId="4">
    <oc r="E90">
      <v>305</v>
    </oc>
    <nc r="E90">
      <v>205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2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13.xml><?xml version="1.0" encoding="utf-8"?>
<revisions xmlns="http://schemas.openxmlformats.org/spreadsheetml/2006/main" xmlns:r="http://schemas.openxmlformats.org/officeDocument/2006/relationships">
  <rcc rId="18254" sId="3" numFmtId="4">
    <oc r="D51">
      <v>7</v>
    </oc>
    <nc r="D51">
      <v>8</v>
    </nc>
  </rcc>
  <rcc rId="18255" sId="3">
    <oc r="E51">
      <f>200+40+155+100+80+30+70+300</f>
    </oc>
    <nc r="E51">
      <f>200+40+155+100+80+30+70+300+30</f>
    </nc>
  </rcc>
  <rcc rId="18256" sId="4" numFmtId="4">
    <oc r="D111">
      <v>3</v>
    </oc>
    <nc r="D111">
      <v>7</v>
    </nc>
  </rcc>
  <rcc rId="18257" sId="4" numFmtId="4">
    <oc r="E111">
      <f>7.5+10+12</f>
    </oc>
    <nc r="E111">
      <v>79.5</v>
    </nc>
  </rcc>
  <rcc rId="18258" sId="4" numFmtId="4">
    <oc r="F111">
      <v>3</v>
    </oc>
    <nc r="F111">
      <v>7</v>
    </nc>
  </rcc>
  <rcc rId="18259" sId="4" numFmtId="4">
    <oc r="G111">
      <v>29.5</v>
    </oc>
    <nc r="G111">
      <v>79.5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321.xml><?xml version="1.0" encoding="utf-8"?>
<revisions xmlns="http://schemas.openxmlformats.org/spreadsheetml/2006/main" xmlns:r="http://schemas.openxmlformats.org/officeDocument/2006/relationships">
  <rcc rId="18367" sId="4" numFmtId="4">
    <oc r="D35">
      <v>32</v>
    </oc>
    <nc r="D35">
      <v>38</v>
    </nc>
  </rcc>
  <rcc rId="18368" sId="4" numFmtId="4">
    <oc r="E35">
      <v>280</v>
    </oc>
    <nc r="E35">
      <v>315</v>
    </nc>
  </rcc>
  <rcc rId="18369" sId="3" numFmtId="4">
    <oc r="D113">
      <v>1</v>
    </oc>
    <nc r="D113">
      <v>2</v>
    </nc>
  </rcc>
  <rcc rId="18370" sId="3" numFmtId="4">
    <oc r="E113">
      <v>25</v>
    </oc>
    <nc r="E113">
      <f>25+29.25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611.xml><?xml version="1.0" encoding="utf-8"?>
<revisions xmlns="http://schemas.openxmlformats.org/spreadsheetml/2006/main" xmlns:r="http://schemas.openxmlformats.org/officeDocument/2006/relationships">
  <rcc rId="17961" sId="3" numFmtId="4">
    <oc r="D108">
      <v>9</v>
    </oc>
    <nc r="D108">
      <v>10</v>
    </nc>
  </rcc>
  <rcc rId="17962" sId="3">
    <oc r="E108">
      <f>10+10+15+55+6+60+85+65+70+300</f>
    </oc>
    <nc r="E108">
      <f>10+10+15+55+6+60+85+65+70+300+200</f>
    </nc>
  </rcc>
  <rcc rId="17963" sId="3" numFmtId="4">
    <oc r="F108">
      <v>6</v>
    </oc>
    <nc r="F108">
      <v>7</v>
    </nc>
  </rcc>
  <rcc rId="17964" sId="3" numFmtId="4">
    <oc r="G108">
      <v>176</v>
    </oc>
    <nc r="G108">
      <v>345</v>
    </nc>
  </rcc>
  <rcc rId="17965" sId="4" numFmtId="4">
    <oc r="D105">
      <v>9</v>
    </oc>
    <nc r="D105">
      <v>15</v>
    </nc>
  </rcc>
  <rcc rId="17966" sId="4">
    <oc r="E105">
      <f>45+10+5+10+4+10+15+8+8</f>
    </oc>
    <nc r="E105">
      <f>45+10+5+10+4+10+15+8+8+69</f>
    </nc>
  </rcc>
  <rcc rId="17967" sId="4" numFmtId="4">
    <oc r="F105">
      <v>9</v>
    </oc>
    <nc r="F105">
      <v>15</v>
    </nc>
  </rcc>
  <rcc rId="17968" sId="4" numFmtId="4">
    <oc r="G105">
      <v>115</v>
    </oc>
    <nc r="G105">
      <v>184</v>
    </nc>
  </rcc>
  <rcc rId="17969" sId="4" numFmtId="4">
    <oc r="D36">
      <v>100</v>
    </oc>
    <nc r="D36">
      <v>101</v>
    </nc>
  </rcc>
  <rcc rId="17970" sId="4">
    <oc r="E36">
      <v>680</v>
    </oc>
    <nc r="E36">
      <f>680+3</f>
    </nc>
  </rcc>
  <rcc rId="17971" sId="3" numFmtId="4">
    <oc r="D39">
      <v>5</v>
    </oc>
    <nc r="D39">
      <v>6</v>
    </nc>
  </rcc>
  <rcc rId="17972" sId="3" numFmtId="4">
    <oc r="E39">
      <v>650</v>
    </oc>
    <nc r="E39">
      <f>650+160</f>
    </nc>
  </rcc>
  <rcc rId="17973" sId="3" numFmtId="4">
    <oc r="F39">
      <v>4</v>
    </oc>
    <nc r="F39">
      <v>5</v>
    </nc>
  </rcc>
  <rcc rId="17974" sId="3" numFmtId="4">
    <oc r="G39">
      <v>162</v>
    </oc>
    <nc r="G39">
      <v>650</v>
    </nc>
  </rcc>
  <rcc rId="17975" sId="4" numFmtId="4">
    <oc r="D213">
      <v>1</v>
    </oc>
    <nc r="D213">
      <v>4</v>
    </nc>
  </rcc>
  <rcc rId="17976" sId="4" numFmtId="4">
    <oc r="E213">
      <v>20</v>
    </oc>
    <nc r="E213">
      <v>62</v>
    </nc>
  </rcc>
  <rcc rId="17977" sId="4" numFmtId="4">
    <oc r="F213">
      <v>1</v>
    </oc>
    <nc r="F213">
      <v>4</v>
    </nc>
  </rcc>
  <rcc rId="17978" sId="4" numFmtId="4">
    <oc r="G213">
      <v>20</v>
    </oc>
    <nc r="G213">
      <v>62</v>
    </nc>
  </rcc>
  <rcc rId="17979" sId="3" numFmtId="4">
    <oc r="D46">
      <v>2</v>
    </oc>
    <nc r="D46">
      <v>3</v>
    </nc>
  </rcc>
  <rcc rId="17980" sId="3" numFmtId="4">
    <oc r="E46">
      <v>70</v>
    </oc>
    <nc r="E46">
      <v>160</v>
    </nc>
  </rcc>
  <rcc rId="17981" sId="3" numFmtId="4">
    <oc r="F46">
      <v>2</v>
    </oc>
    <nc r="F46">
      <v>3</v>
    </nc>
  </rcc>
  <rcc rId="17982" sId="3" numFmtId="4">
    <oc r="G46">
      <v>70</v>
    </oc>
    <nc r="G46">
      <v>160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711.xml><?xml version="1.0" encoding="utf-8"?>
<revisions xmlns="http://schemas.openxmlformats.org/spreadsheetml/2006/main" xmlns:r="http://schemas.openxmlformats.org/officeDocument/2006/relationships">
  <rcc rId="18074" sId="4" numFmtId="4">
    <oc r="D96">
      <v>4</v>
    </oc>
    <nc r="D96">
      <v>5</v>
    </nc>
  </rcc>
  <rcc rId="18075" sId="4" numFmtId="4">
    <oc r="E96">
      <f>6+7+5+5</f>
    </oc>
    <nc r="E96">
      <v>28</v>
    </nc>
  </rcc>
  <rcc rId="18076" sId="4" numFmtId="4">
    <oc r="F96">
      <v>4</v>
    </oc>
    <nc r="F96">
      <v>5</v>
    </nc>
  </rcc>
  <rcc rId="18077" sId="4" numFmtId="4">
    <oc r="G96">
      <v>23</v>
    </oc>
    <nc r="G96">
      <v>28</v>
    </nc>
  </rcc>
  <rcc rId="18078" sId="4" numFmtId="4">
    <oc r="D69">
      <v>24</v>
    </oc>
    <nc r="D69">
      <v>25</v>
    </nc>
  </rcc>
  <rcc rId="18079" sId="4" numFmtId="4">
    <oc r="E69">
      <v>215</v>
    </oc>
    <nc r="E69">
      <v>220</v>
    </nc>
  </rcc>
  <rcc rId="18080" sId="4" numFmtId="4">
    <oc r="F69">
      <v>15</v>
    </oc>
    <nc r="F69">
      <v>20</v>
    </nc>
  </rcc>
  <rcc rId="18081" sId="4" numFmtId="4">
    <oc r="G69">
      <v>70</v>
    </oc>
    <nc r="G69">
      <v>150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911.xml><?xml version="1.0" encoding="utf-8"?>
<revisions xmlns="http://schemas.openxmlformats.org/spreadsheetml/2006/main" xmlns:r="http://schemas.openxmlformats.org/officeDocument/2006/relationships">
  <rcc rId="18138" sId="3" numFmtId="4">
    <oc r="D91">
      <v>1</v>
    </oc>
    <nc r="D91">
      <v>2</v>
    </nc>
  </rcc>
  <rcc rId="18139" sId="3" numFmtId="4">
    <oc r="E91">
      <v>85</v>
    </oc>
    <nc r="E91">
      <v>95</v>
    </nc>
  </rcc>
  <rcc rId="18140" sId="3" numFmtId="4">
    <oc r="F91">
      <v>1</v>
    </oc>
    <nc r="F91">
      <v>2</v>
    </nc>
  </rcc>
  <rcc rId="18141" sId="3" numFmtId="4">
    <oc r="G91">
      <v>15</v>
    </oc>
    <nc r="G91">
      <v>95</v>
    </nc>
  </rcc>
  <rcc rId="18142" sId="3" numFmtId="4">
    <oc r="D107">
      <v>8</v>
    </oc>
    <nc r="D107">
      <v>9</v>
    </nc>
  </rcc>
  <rcc rId="18143" sId="3" numFmtId="4">
    <oc r="E107">
      <f>15+630+12+45+30+60+70+10</f>
    </oc>
    <nc r="E107">
      <v>882</v>
    </nc>
  </rcc>
  <rcc rId="18144" sId="3" numFmtId="4">
    <oc r="F107">
      <v>4</v>
    </oc>
    <nc r="F107">
      <v>6</v>
    </nc>
  </rcc>
  <rcc rId="18145" sId="3" numFmtId="4">
    <oc r="G107">
      <v>320</v>
    </oc>
    <nc r="G107">
      <v>560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111.xml><?xml version="1.0" encoding="utf-8"?>
<revisions xmlns="http://schemas.openxmlformats.org/spreadsheetml/2006/main" xmlns:r="http://schemas.openxmlformats.org/officeDocument/2006/relationships">
  <rcc rId="18377" sId="4" numFmtId="4">
    <oc r="D105">
      <v>15</v>
    </oc>
    <nc r="D105">
      <v>17</v>
    </nc>
  </rcc>
  <rcc rId="18378" sId="4">
    <oc r="E105">
      <f>45+10+5+10+4+10+15+8+8+69</f>
    </oc>
    <nc r="E105">
      <f>45+10+5+10+4+10+15+8+8+69+20</f>
    </nc>
  </rcc>
  <rcc rId="18379" sId="4" numFmtId="4">
    <oc r="D36">
      <v>101</v>
    </oc>
    <nc r="D36">
      <v>103</v>
    </nc>
  </rcc>
  <rcc rId="18380" sId="4">
    <oc r="E36">
      <f>680+3</f>
    </oc>
    <nc r="E36">
      <f>680+3+7.5</f>
    </nc>
  </rcc>
  <rcc rId="18381" sId="4" numFmtId="4">
    <oc r="D37">
      <v>78</v>
    </oc>
    <nc r="D37">
      <v>79</v>
    </nc>
  </rcc>
  <rcc rId="18382" sId="4" numFmtId="4">
    <oc r="E37">
      <v>450</v>
    </oc>
    <nc r="E37">
      <v>460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211.xml><?xml version="1.0" encoding="utf-8"?>
<revisions xmlns="http://schemas.openxmlformats.org/spreadsheetml/2006/main" xmlns:r="http://schemas.openxmlformats.org/officeDocument/2006/relationships">
  <rcc rId="18350" sId="3" numFmtId="4">
    <oc r="D78">
      <v>3</v>
    </oc>
    <nc r="D78">
      <v>4</v>
    </nc>
  </rcc>
  <rcc rId="18351" sId="3" numFmtId="4">
    <oc r="E78">
      <v>320</v>
    </oc>
    <nc r="E78">
      <v>390</v>
    </nc>
  </rcc>
  <rcc rId="18352" sId="3" numFmtId="4">
    <oc r="F78">
      <v>3</v>
    </oc>
    <nc r="F78">
      <v>4</v>
    </nc>
  </rcc>
  <rcc rId="18353" sId="3" numFmtId="4">
    <oc r="G78">
      <v>55</v>
    </oc>
    <nc r="G78">
      <v>390</v>
    </nc>
  </rcc>
  <rcc rId="18354" sId="3" numFmtId="4">
    <oc r="G79">
      <v>10</v>
    </oc>
    <nc r="G79">
      <v>90</v>
    </nc>
  </rcc>
  <rcc rId="18355" sId="3" numFmtId="4">
    <nc r="F81">
      <v>2</v>
    </nc>
  </rcc>
  <rcc rId="18356" sId="3" numFmtId="4">
    <nc r="G81">
      <v>210</v>
    </nc>
  </rcc>
  <rcc rId="18357" sId="3" numFmtId="4">
    <oc r="G82">
      <v>5</v>
    </oc>
    <nc r="G82">
      <v>25</v>
    </nc>
  </rcc>
  <rcc rId="18358" sId="3" numFmtId="4">
    <oc r="G83">
      <v>3</v>
    </oc>
    <nc r="G83">
      <v>45</v>
    </nc>
  </rcc>
  <rcc rId="18359" sId="3" numFmtId="4">
    <oc r="D67">
      <v>12</v>
    </oc>
    <nc r="D67">
      <v>15</v>
    </nc>
  </rcc>
  <rcc rId="18360" sId="3">
    <oc r="E67">
      <f>41+15+15+155+50+15+60+50+250+100+300+250</f>
    </oc>
    <nc r="E67">
      <f>41+15+15+155+50+15+60+50+250+100+300+250+62</f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311.xml><?xml version="1.0" encoding="utf-8"?>
<revisions xmlns="http://schemas.openxmlformats.org/spreadsheetml/2006/main" xmlns:r="http://schemas.openxmlformats.org/officeDocument/2006/relationships">
  <rcc rId="18389" sId="3" numFmtId="4">
    <oc r="D46">
      <v>3</v>
    </oc>
    <nc r="D46">
      <v>4</v>
    </nc>
  </rcc>
  <rcc rId="18390" sId="3" numFmtId="4">
    <oc r="E46">
      <v>160</v>
    </oc>
    <nc r="E46">
      <v>250</v>
    </nc>
  </rcc>
  <rcc rId="18391" sId="4" numFmtId="4">
    <oc r="D71">
      <v>12</v>
    </oc>
    <nc r="D71">
      <v>20</v>
    </nc>
  </rcc>
  <rcc rId="18392" sId="4" numFmtId="4">
    <oc r="F71">
      <v>12</v>
    </oc>
    <nc r="F71">
      <v>20</v>
    </nc>
  </rcc>
  <rcc rId="18393" sId="4" numFmtId="4">
    <oc r="G71">
      <v>82</v>
    </oc>
    <nc r="G71">
      <v>122</v>
    </nc>
  </rcc>
  <rcc rId="18394" sId="4" numFmtId="4">
    <oc r="E71">
      <f>5+15+10+10+15+10+5+12</f>
    </oc>
    <nc r="E71">
      <v>122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0121.xml><?xml version="1.0" encoding="utf-8"?>
<revisions xmlns="http://schemas.openxmlformats.org/spreadsheetml/2006/main" xmlns:r="http://schemas.openxmlformats.org/officeDocument/2006/relationships">
  <rcc rId="18056" sId="3" numFmtId="4">
    <oc r="D129">
      <v>1</v>
    </oc>
    <nc r="D129">
      <v>2</v>
    </nc>
  </rcc>
  <rcc rId="18057" sId="3" numFmtId="4">
    <oc r="E129">
      <v>165</v>
    </oc>
    <nc r="E129">
      <v>185</v>
    </nc>
  </rcc>
  <rcc rId="18058" sId="3" numFmtId="4">
    <oc r="F129">
      <v>1</v>
    </oc>
    <nc r="F129">
      <v>2</v>
    </nc>
  </rcc>
  <rcc rId="18059" sId="3" numFmtId="4">
    <oc r="G129">
      <v>65</v>
    </oc>
    <nc r="G129">
      <v>185</v>
    </nc>
  </rcc>
  <rcc rId="18060" sId="3" numFmtId="4">
    <oc r="D93">
      <v>2</v>
    </oc>
    <nc r="D93">
      <v>3</v>
    </nc>
  </rcc>
  <rcc rId="18061" sId="3" numFmtId="4">
    <oc r="E93">
      <v>125</v>
    </oc>
    <nc r="E93">
      <v>225</v>
    </nc>
  </rcc>
  <rcc rId="18062" sId="3" numFmtId="4">
    <oc r="F93">
      <v>1</v>
    </oc>
    <nc r="F93">
      <v>2</v>
    </nc>
  </rcc>
  <rcc rId="18063" sId="3" numFmtId="4">
    <oc r="G93">
      <v>25</v>
    </oc>
    <nc r="G93">
      <v>125</v>
    </nc>
  </rcc>
  <rcc rId="18064" sId="4" numFmtId="4">
    <oc r="D90">
      <v>14</v>
    </oc>
    <nc r="D90">
      <v>15</v>
    </nc>
  </rcc>
  <rcc rId="18065" sId="4" numFmtId="4">
    <oc r="E90">
      <f>10+12+8+40+5+7+5+12+5+8+7+25+5+5</f>
    </oc>
    <nc r="E90">
      <v>164</v>
    </nc>
  </rcc>
  <rcc rId="18066" sId="4" numFmtId="4">
    <oc r="F90">
      <v>14</v>
    </oc>
    <nc r="F90">
      <v>15</v>
    </nc>
  </rcc>
  <rcc rId="18067" sId="4" numFmtId="4">
    <oc r="G90">
      <v>154</v>
    </oc>
    <nc r="G90">
      <v>164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211.xml><?xml version="1.0" encoding="utf-8"?>
<revisions xmlns="http://schemas.openxmlformats.org/spreadsheetml/2006/main" xmlns:r="http://schemas.openxmlformats.org/officeDocument/2006/relationships">
  <rcc rId="18023" sId="4" numFmtId="4">
    <oc r="G101">
      <v>422</v>
    </oc>
    <nc r="G101">
      <v>395</v>
    </nc>
  </rcc>
  <rfmt sheetId="3" sqref="D104:E104">
    <dxf>
      <fill>
        <patternFill>
          <bgColor theme="0"/>
        </patternFill>
      </fill>
    </dxf>
  </rfmt>
  <rcc rId="18024" sId="3" numFmtId="4">
    <oc r="D104">
      <v>25</v>
    </oc>
    <nc r="D104">
      <v>26</v>
    </nc>
  </rcc>
  <rcc rId="18025" sId="3">
    <oc r="E104">
      <f>350+130+70+160+200+65+8+10+160+15+200+20+15+80+3+500+400+700</f>
    </oc>
    <nc r="E104">
      <f>350+130+70+160+200+65+8+10+160+15+200+20+15+80+3+500+400+700+95</f>
    </nc>
  </rcc>
  <rcc rId="18026" sId="4" numFmtId="4">
    <oc r="D102">
      <v>41</v>
    </oc>
    <nc r="D102">
      <v>42</v>
    </nc>
  </rcc>
  <rcc rId="18027" sId="4" numFmtId="4">
    <oc r="E102">
      <v>320</v>
    </oc>
    <nc r="E102">
      <v>328</v>
    </nc>
  </rcc>
  <rcc rId="18028" sId="4" numFmtId="4">
    <oc r="F102">
      <v>16</v>
    </oc>
    <nc r="F102">
      <v>32</v>
    </nc>
  </rcc>
  <rcc rId="18029" sId="4" numFmtId="4">
    <oc r="G102">
      <v>120</v>
    </oc>
    <nc r="G102">
      <v>258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7111.xml><?xml version="1.0" encoding="utf-8"?>
<revisions xmlns="http://schemas.openxmlformats.org/spreadsheetml/2006/main" xmlns:r="http://schemas.openxmlformats.org/officeDocument/2006/relationships">
  <rcc rId="18042" sId="4" numFmtId="4">
    <oc r="D40">
      <v>26</v>
    </oc>
    <nc r="D40">
      <v>28</v>
    </nc>
  </rcc>
  <rcc rId="18043" sId="4">
    <oc r="E40">
      <f>10+10+5+11+10+120</f>
    </oc>
    <nc r="E40">
      <f>10+10+5+11+10+120+19</f>
    </nc>
  </rcc>
  <rcc rId="18044" sId="4" numFmtId="4">
    <oc r="F40">
      <v>18</v>
    </oc>
    <nc r="F40">
      <v>20</v>
    </nc>
  </rcc>
  <rcc rId="18045" sId="4" numFmtId="4">
    <oc r="G40">
      <v>66</v>
    </oc>
    <nc r="G40">
      <v>100</v>
    </nc>
  </rcc>
  <rcc rId="18046" sId="3" numFmtId="4">
    <oc r="D43">
      <v>4</v>
    </oc>
    <nc r="D43">
      <v>5</v>
    </nc>
  </rcc>
  <rcc rId="18047" sId="3" numFmtId="4">
    <oc r="E43">
      <f>180+100+100+43</f>
    </oc>
    <nc r="E43">
      <v>723</v>
    </nc>
  </rcc>
  <rcc rId="18048" sId="3" numFmtId="4">
    <oc r="F43">
      <v>2</v>
    </oc>
    <nc r="F43">
      <v>3</v>
    </nc>
  </rcc>
  <rcc rId="18049" sId="3" numFmtId="4">
    <oc r="G43">
      <v>220</v>
    </oc>
    <nc r="G43">
      <v>310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22111.xml><?xml version="1.0" encoding="utf-8"?>
<revisions xmlns="http://schemas.openxmlformats.org/spreadsheetml/2006/main" xmlns:r="http://schemas.openxmlformats.org/officeDocument/2006/relationships">
  <rcc rId="18236" sId="4" numFmtId="4">
    <oc r="D144">
      <v>17</v>
    </oc>
    <nc r="D144">
      <v>21</v>
    </nc>
  </rcc>
  <rcc rId="18237" sId="4" numFmtId="4">
    <oc r="E144">
      <f>2+4.2+13+2.5+5+2.5+2.5+2.5+3+4+2+1.5+13+3+5+3.5+5.5</f>
    </oc>
    <nc r="E144">
      <v>82</v>
    </nc>
  </rcc>
  <rcc rId="18238" sId="4" numFmtId="4">
    <oc r="F144">
      <v>17</v>
    </oc>
    <nc r="F144">
      <v>21</v>
    </nc>
  </rcc>
  <rcc rId="18239" sId="4" numFmtId="4">
    <oc r="G144">
      <v>74.7</v>
    </oc>
    <nc r="G144">
      <v>82</v>
    </nc>
  </rcc>
  <rcc rId="18240" sId="4" numFmtId="4">
    <oc r="D103">
      <v>16</v>
    </oc>
    <nc r="D103">
      <v>19</v>
    </nc>
  </rcc>
  <rcc rId="18241" sId="4" numFmtId="4">
    <oc r="E103">
      <v>100</v>
    </oc>
    <nc r="E103">
      <v>125</v>
    </nc>
  </rcc>
  <rcc rId="18242" sId="4" numFmtId="4">
    <oc r="F103">
      <v>6</v>
    </oc>
    <nc r="F103">
      <v>19</v>
    </nc>
  </rcc>
  <rcc rId="18243" sId="4" numFmtId="4">
    <oc r="G103">
      <v>48</v>
    </oc>
    <nc r="G103">
      <v>125</v>
    </nc>
  </rcc>
  <rcc rId="18244" sId="4" numFmtId="4">
    <oc r="D218">
      <v>2</v>
    </oc>
    <nc r="D218">
      <v>10</v>
    </nc>
  </rcc>
  <rcc rId="18245" sId="4" numFmtId="4">
    <oc r="F218">
      <v>2</v>
    </oc>
    <nc r="F218">
      <v>10</v>
    </nc>
  </rcc>
  <rcc rId="18246" sId="4" numFmtId="4">
    <oc r="E218">
      <f>45+50</f>
    </oc>
    <nc r="E218">
      <v>148</v>
    </nc>
  </rcc>
  <rcc rId="18247" sId="4" numFmtId="4">
    <oc r="G218">
      <v>30</v>
    </oc>
    <nc r="G218">
      <v>148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01211.xml><?xml version="1.0" encoding="utf-8"?>
<revisions xmlns="http://schemas.openxmlformats.org/spreadsheetml/2006/main" xmlns:r="http://schemas.openxmlformats.org/officeDocument/2006/relationships">
  <rcc rId="18007" sId="4" numFmtId="4">
    <oc r="D101">
      <v>56</v>
    </oc>
    <nc r="D101">
      <v>62</v>
    </nc>
  </rcc>
  <rcc rId="18008" sId="4" numFmtId="4">
    <oc r="E101">
      <v>467</v>
    </oc>
    <nc r="E101">
      <f>467+54</f>
    </nc>
  </rcc>
  <rcc rId="18009" sId="4" numFmtId="4">
    <oc r="F101">
      <v>25</v>
    </oc>
    <nc r="F101">
      <v>40</v>
    </nc>
  </rcc>
  <rcc rId="18010" sId="4" numFmtId="4">
    <oc r="G101">
      <v>145</v>
    </oc>
    <nc r="G101">
      <v>422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2111.xml><?xml version="1.0" encoding="utf-8"?>
<revisions xmlns="http://schemas.openxmlformats.org/spreadsheetml/2006/main" xmlns:r="http://schemas.openxmlformats.org/officeDocument/2006/relationships"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revisionLog11221111.xml><?xml version="1.0" encoding="utf-8"?>
<revisions xmlns="http://schemas.openxmlformats.org/spreadsheetml/2006/main" xmlns:r="http://schemas.openxmlformats.org/officeDocument/2006/relationships">
  <rcc rId="17989" sId="4" numFmtId="4">
    <oc r="D201">
      <v>25</v>
    </oc>
    <nc r="D201">
      <v>28</v>
    </nc>
  </rcc>
  <rcc rId="17990" sId="4" numFmtId="4">
    <oc r="E201">
      <v>130</v>
    </oc>
    <nc r="E201">
      <v>160</v>
    </nc>
  </rcc>
  <rcc rId="17991" sId="4" numFmtId="4">
    <oc r="F201">
      <v>1</v>
    </oc>
    <nc r="F201">
      <v>20</v>
    </nc>
  </rcc>
  <rcc rId="17992" sId="4" numFmtId="4">
    <oc r="G201">
      <v>5</v>
    </oc>
    <nc r="G201">
      <v>100</v>
    </nc>
  </rcc>
  <rcc rId="17993" sId="4" numFmtId="4">
    <oc r="D231">
      <v>8</v>
    </oc>
    <nc r="D231">
      <v>12</v>
    </nc>
  </rcc>
  <rcc rId="17994" sId="4" numFmtId="4">
    <oc r="E231">
      <v>34</v>
    </oc>
    <nc r="E231">
      <v>74</v>
    </nc>
  </rcc>
  <rcc rId="17995" sId="4" numFmtId="4">
    <oc r="F231">
      <v>4</v>
    </oc>
    <nc r="F231">
      <v>12</v>
    </nc>
  </rcc>
  <rcc rId="17996" sId="4" numFmtId="4">
    <oc r="G231">
      <v>19</v>
    </oc>
    <nc r="G231">
      <v>74</v>
    </nc>
  </rcc>
  <rcc rId="17997" sId="4" numFmtId="4">
    <nc r="F233">
      <v>5</v>
    </nc>
  </rcc>
  <rcc rId="17998" sId="4" numFmtId="4">
    <nc r="G233">
      <v>30</v>
    </nc>
  </rcc>
  <rcc rId="17999" sId="4" numFmtId="4">
    <nc r="F234">
      <v>4</v>
    </nc>
  </rcc>
  <rcc rId="18000" sId="4" numFmtId="4">
    <nc r="G234">
      <v>20</v>
    </nc>
  </rcc>
  <rcv guid="{A743F9C7-8B89-4E8F-B91F-1FFB859064F2}" action="delete"/>
  <rdn rId="0" localSheetId="2" customView="1" name="Z_A743F9C7_8B89_4E8F_B91F_1FFB859064F2_.wvu.FilterData" hidden="1" oldHidden="1">
    <formula>'Ноябрь 2013г'!$C$21:$C$131</formula>
    <oldFormula>'Ноябрь 2013г'!$C$21:$C$131</oldFormula>
  </rdn>
  <rdn rId="0" localSheetId="1" customView="1" name="Z_A743F9C7_8B89_4E8F_B91F_1FFB859064F2_.wvu.FilterData" hidden="1" oldHidden="1">
    <formula>'декабрь 2014г'!$C$21:$C$246</formula>
    <oldFormula>'декабрь 2014г'!$C$21:$C$246</oldFormula>
  </rdn>
  <rdn rId="0" localSheetId="3" customView="1" name="Z_A743F9C7_8B89_4E8F_B91F_1FFB859064F2_.wvu.Rows" hidden="1" oldHidden="1">
    <formula>'декабрь 2014г. по 6-10'!$2:$12</formula>
    <oldFormula>'декабрь 2014г. по 6-10'!$2:$12</oldFormula>
  </rdn>
  <rdn rId="0" localSheetId="3" customView="1" name="Z_A743F9C7_8B89_4E8F_B91F_1FFB859064F2_.wvu.FilterData" hidden="1" oldHidden="1">
    <formula>'декабрь 2014г. по 6-10'!$C$21:$C$130</formula>
    <oldFormula>'декабрь 2014г. по 6-10'!$C$21:$C$130</oldFormula>
  </rdn>
  <rdn rId="0" localSheetId="4" customView="1" name="Z_A743F9C7_8B89_4E8F_B91F_1FFB859064F2_.wvu.Rows" hidden="1" oldHidden="1">
    <formula>'декабрь 2014г. по 0,4'!$2:$12</formula>
    <oldFormula>'декабрь 2014г. по 0,4'!$2:$12</oldFormula>
  </rdn>
  <rdn rId="0" localSheetId="4" customView="1" name="Z_A743F9C7_8B89_4E8F_B91F_1FFB859064F2_.wvu.FilterData" hidden="1" oldHidden="1">
    <formula>'декабрь 2014г. по 0,4'!$C$18:$C$127</formula>
    <oldFormula>'декабрь 2014г. по 0,4'!$C$18:$C$127</oldFormula>
  </rdn>
  <rcv guid="{A743F9C7-8B89-4E8F-B91F-1FFB859064F2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9A168C4B-07ED-409D-8F3A-16B2E6FBC0C2}" name="Мамедова Фарида" id="-472693736" dateTime="2015-01-21T12:10:33"/>
</user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AE693E57-7143-42C6-BE39-5ABDB0359885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9"/>
  <sheetViews>
    <sheetView topLeftCell="B84" zoomScale="85" zoomScaleNormal="85" workbookViewId="0">
      <selection activeCell="E109" sqref="E109"/>
    </sheetView>
  </sheetViews>
  <sheetFormatPr defaultRowHeight="12.75" x14ac:dyDescent="0.2"/>
  <cols>
    <col min="1" max="1" width="29.140625" customWidth="1"/>
    <col min="2" max="2" width="39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33"/>
      <c r="J1" s="133"/>
      <c r="K1" s="133"/>
      <c r="L1" s="133"/>
      <c r="M1" s="17" t="s">
        <v>16</v>
      </c>
      <c r="N1" s="17"/>
    </row>
    <row r="2" spans="2:15" ht="15.75" x14ac:dyDescent="0.25">
      <c r="B2" t="s">
        <v>0</v>
      </c>
      <c r="I2" s="133"/>
      <c r="J2" s="133"/>
      <c r="K2" s="133"/>
      <c r="L2" s="133"/>
      <c r="M2" s="17" t="s">
        <v>12</v>
      </c>
      <c r="N2" s="17"/>
      <c r="O2" s="17"/>
    </row>
    <row r="3" spans="2:15" ht="15.75" x14ac:dyDescent="0.25">
      <c r="I3" s="133"/>
      <c r="J3" s="133"/>
      <c r="K3" s="133"/>
      <c r="L3" s="133"/>
      <c r="M3" s="17" t="s">
        <v>13</v>
      </c>
      <c r="N3" s="17"/>
      <c r="O3" s="17"/>
    </row>
    <row r="4" spans="2:15" ht="15.75" x14ac:dyDescent="0.25">
      <c r="I4" s="32"/>
      <c r="J4" s="32"/>
      <c r="K4" s="32"/>
      <c r="L4" s="1"/>
      <c r="M4" s="17" t="s">
        <v>14</v>
      </c>
      <c r="N4" s="17"/>
      <c r="O4" s="17"/>
    </row>
    <row r="5" spans="2:15" ht="15.75" x14ac:dyDescent="0.25">
      <c r="I5" s="133"/>
      <c r="J5" s="133"/>
      <c r="K5" s="133"/>
      <c r="L5" s="133"/>
      <c r="M5" s="17" t="s">
        <v>15</v>
      </c>
      <c r="N5" s="17"/>
      <c r="O5" s="17"/>
    </row>
    <row r="6" spans="2:15" ht="15.75" x14ac:dyDescent="0.25">
      <c r="I6" s="133"/>
      <c r="J6" s="133"/>
      <c r="K6" s="133"/>
      <c r="L6" s="133"/>
      <c r="O6" s="17"/>
    </row>
    <row r="7" spans="2:15" ht="15.75" x14ac:dyDescent="0.25">
      <c r="I7" s="133"/>
      <c r="J7" s="133"/>
      <c r="K7" s="133"/>
      <c r="L7" s="133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</row>
    <row r="11" spans="2:15" ht="15.75" x14ac:dyDescent="0.25"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</row>
    <row r="12" spans="2:15" ht="15.75" x14ac:dyDescent="0.25">
      <c r="B12" s="16"/>
      <c r="C12" s="16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</row>
    <row r="14" spans="2:15" ht="16.5" thickBot="1" x14ac:dyDescent="0.3">
      <c r="B14" s="134" t="s">
        <v>140</v>
      </c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6"/>
    </row>
    <row r="15" spans="2:15" x14ac:dyDescent="0.2"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46" t="s">
        <v>17</v>
      </c>
      <c r="E19" s="146"/>
      <c r="F19" s="146" t="s">
        <v>4</v>
      </c>
      <c r="G19" s="146"/>
      <c r="H19" s="147" t="s">
        <v>5</v>
      </c>
      <c r="I19" s="148"/>
      <c r="J19" s="147" t="s">
        <v>6</v>
      </c>
      <c r="K19" s="148"/>
      <c r="L19" s="139" t="s">
        <v>18</v>
      </c>
      <c r="M19" s="140"/>
      <c r="N19" s="139" t="s">
        <v>19</v>
      </c>
      <c r="O19" s="140"/>
      <c r="P19" s="139" t="s">
        <v>20</v>
      </c>
      <c r="Q19" s="140"/>
    </row>
    <row r="20" spans="1:17" ht="13.5" thickTop="1" x14ac:dyDescent="0.2">
      <c r="A20" s="4">
        <v>1</v>
      </c>
      <c r="B20" s="5">
        <v>2</v>
      </c>
      <c r="C20" s="6">
        <v>3</v>
      </c>
      <c r="D20" s="149">
        <v>4</v>
      </c>
      <c r="E20" s="150"/>
      <c r="F20" s="141">
        <v>5</v>
      </c>
      <c r="G20" s="142"/>
      <c r="H20" s="143">
        <v>6</v>
      </c>
      <c r="I20" s="142"/>
      <c r="J20" s="143">
        <v>7</v>
      </c>
      <c r="K20" s="142"/>
      <c r="L20" s="144">
        <v>8</v>
      </c>
      <c r="M20" s="145"/>
      <c r="N20" s="144">
        <v>9</v>
      </c>
      <c r="O20" s="145"/>
      <c r="P20" s="144">
        <v>10</v>
      </c>
      <c r="Q20" s="145"/>
    </row>
    <row r="21" spans="1:17" ht="12.75" customHeight="1" x14ac:dyDescent="0.2">
      <c r="A21" s="7"/>
      <c r="B21" s="7"/>
      <c r="C21" s="7"/>
      <c r="D21" s="29" t="s">
        <v>7</v>
      </c>
      <c r="E21" s="29" t="s">
        <v>8</v>
      </c>
      <c r="F21" s="29" t="s">
        <v>7</v>
      </c>
      <c r="G21" s="29" t="s">
        <v>8</v>
      </c>
      <c r="H21" s="29" t="s">
        <v>7</v>
      </c>
      <c r="I21" s="29" t="s">
        <v>8</v>
      </c>
      <c r="J21" s="29" t="s">
        <v>7</v>
      </c>
      <c r="K21" s="29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137</v>
      </c>
      <c r="C22" s="151" t="s">
        <v>21</v>
      </c>
      <c r="D22" s="152"/>
      <c r="E22" s="29"/>
      <c r="F22" s="29"/>
      <c r="G22" s="29"/>
      <c r="H22" s="29"/>
      <c r="I22" s="29"/>
      <c r="J22" s="29"/>
      <c r="K22" s="29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9" t="s">
        <v>22</v>
      </c>
      <c r="D23" s="31">
        <f>'декабрь 2014г. по 6-10'!D23+'декабрь 2014г. по 0,4'!D20</f>
        <v>0</v>
      </c>
      <c r="E23" s="31">
        <f>'декабрь 2014г. по 6-10'!E23+'декабрь 2014г. по 0,4'!E20</f>
        <v>0</v>
      </c>
      <c r="F23" s="31">
        <f>'декабрь 2014г. по 6-10'!F23+'декабрь 2014г. по 0,4'!F20</f>
        <v>0</v>
      </c>
      <c r="G23" s="31">
        <f>'декабрь 2014г. по 6-10'!G23+'декабрь 2014г. по 0,4'!G20</f>
        <v>0</v>
      </c>
      <c r="H23" s="24">
        <v>2</v>
      </c>
      <c r="I23" s="24">
        <v>11.2</v>
      </c>
      <c r="J23" s="31">
        <f>'декабрь 2014г. по 6-10'!J23+'декабрь 2014г. по 0,4'!J20</f>
        <v>0</v>
      </c>
      <c r="K23" s="31">
        <f>'декабрь 2014г. по 6-10'!K23+'декабрь 2014г. по 0,4'!K20</f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</row>
    <row r="24" spans="1:17" ht="12" customHeight="1" x14ac:dyDescent="0.25">
      <c r="A24" s="18"/>
      <c r="B24" s="18"/>
      <c r="C24" s="19" t="s">
        <v>23</v>
      </c>
      <c r="D24" s="31">
        <f>'декабрь 2014г. по 6-10'!D24+'декабрь 2014г. по 0,4'!D21</f>
        <v>34</v>
      </c>
      <c r="E24" s="31">
        <f>'декабрь 2014г. по 6-10'!E24+'декабрь 2014г. по 0,4'!E21</f>
        <v>410</v>
      </c>
      <c r="F24" s="31">
        <f>'декабрь 2014г. по 6-10'!F24+'декабрь 2014г. по 0,4'!F21</f>
        <v>1</v>
      </c>
      <c r="G24" s="31">
        <f>'декабрь 2014г. по 6-10'!G24+'декабрь 2014г. по 0,4'!G21</f>
        <v>100</v>
      </c>
      <c r="H24" s="24">
        <v>0</v>
      </c>
      <c r="I24" s="24">
        <v>0</v>
      </c>
      <c r="J24" s="31">
        <f>'декабрь 2014г. по 6-10'!J24+'декабрь 2014г. по 0,4'!J21</f>
        <v>30</v>
      </c>
      <c r="K24" s="31">
        <f>'декабрь 2014г. по 6-10'!K24+'декабрь 2014г. по 0,4'!K21</f>
        <v>300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</row>
    <row r="25" spans="1:17" ht="12" customHeight="1" x14ac:dyDescent="0.25">
      <c r="A25" s="18"/>
      <c r="B25" s="18"/>
      <c r="C25" s="19" t="s">
        <v>24</v>
      </c>
      <c r="D25" s="31">
        <f>'декабрь 2014г. по 6-10'!D25+'декабрь 2014г. по 0,4'!D22</f>
        <v>32</v>
      </c>
      <c r="E25" s="31">
        <f>'декабрь 2014г. по 6-10'!E25+'декабрь 2014г. по 0,4'!E22</f>
        <v>250</v>
      </c>
      <c r="F25" s="31">
        <f>'декабрь 2014г. по 6-10'!F25+'декабрь 2014г. по 0,4'!F22</f>
        <v>0</v>
      </c>
      <c r="G25" s="31">
        <f>'декабрь 2014г. по 6-10'!G25+'декабрь 2014г. по 0,4'!G22</f>
        <v>0</v>
      </c>
      <c r="H25" s="24">
        <v>0</v>
      </c>
      <c r="I25" s="24">
        <v>0</v>
      </c>
      <c r="J25" s="31">
        <f>'декабрь 2014г. по 6-10'!J25+'декабрь 2014г. по 0,4'!J22</f>
        <v>20</v>
      </c>
      <c r="K25" s="31">
        <f>'декабрь 2014г. по 6-10'!K25+'декабрь 2014г. по 0,4'!K22</f>
        <v>160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</row>
    <row r="26" spans="1:17" ht="11.25" customHeight="1" x14ac:dyDescent="0.25">
      <c r="A26" s="18"/>
      <c r="B26" s="18"/>
      <c r="C26" s="19" t="s">
        <v>25</v>
      </c>
      <c r="D26" s="31">
        <f>'декабрь 2014г. по 6-10'!D26+'декабрь 2014г. по 0,4'!D23</f>
        <v>41</v>
      </c>
      <c r="E26" s="31">
        <f>'декабрь 2014г. по 6-10'!E26+'декабрь 2014г. по 0,4'!E23</f>
        <v>3600</v>
      </c>
      <c r="F26" s="31">
        <f>'декабрь 2014г. по 6-10'!F26+'декабрь 2014г. по 0,4'!F23</f>
        <v>9</v>
      </c>
      <c r="G26" s="31">
        <f>'декабрь 2014г. по 6-10'!G26+'декабрь 2014г. по 0,4'!G23</f>
        <v>845</v>
      </c>
      <c r="H26" s="24">
        <v>0</v>
      </c>
      <c r="I26" s="24">
        <v>0</v>
      </c>
      <c r="J26" s="31">
        <f>'декабрь 2014г. по 6-10'!J26+'декабрь 2014г. по 0,4'!J23</f>
        <v>26</v>
      </c>
      <c r="K26" s="31">
        <f>'декабрь 2014г. по 6-10'!K26+'декабрь 2014г. по 0,4'!K23</f>
        <v>540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</row>
    <row r="27" spans="1:17" ht="11.25" customHeight="1" x14ac:dyDescent="0.25">
      <c r="A27" s="18"/>
      <c r="B27" s="18"/>
      <c r="C27" s="19" t="s">
        <v>26</v>
      </c>
      <c r="D27" s="31">
        <f>'декабрь 2014г. по 6-10'!D27+'декабрь 2014г. по 0,4'!D24</f>
        <v>8</v>
      </c>
      <c r="E27" s="31">
        <f>'декабрь 2014г. по 6-10'!E27+'декабрь 2014г. по 0,4'!E24</f>
        <v>90</v>
      </c>
      <c r="F27" s="31">
        <f>'декабрь 2014г. по 6-10'!F27+'декабрь 2014г. по 0,4'!F24</f>
        <v>2</v>
      </c>
      <c r="G27" s="31">
        <f>'декабрь 2014г. по 6-10'!G27+'декабрь 2014г. по 0,4'!G24</f>
        <v>30</v>
      </c>
      <c r="H27" s="24">
        <v>0</v>
      </c>
      <c r="I27" s="24">
        <v>0</v>
      </c>
      <c r="J27" s="31">
        <f>'декабрь 2014г. по 6-10'!J27+'декабрь 2014г. по 0,4'!J24</f>
        <v>5</v>
      </c>
      <c r="K27" s="31">
        <f>'декабрь 2014г. по 6-10'!K27+'декабрь 2014г. по 0,4'!K24</f>
        <v>20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</row>
    <row r="28" spans="1:17" ht="12.75" customHeight="1" x14ac:dyDescent="0.25">
      <c r="A28" s="18"/>
      <c r="B28" s="18"/>
      <c r="C28" s="19" t="s">
        <v>27</v>
      </c>
      <c r="D28" s="31">
        <f>'декабрь 2014г. по 6-10'!D28+'декабрь 2014г. по 0,4'!D25</f>
        <v>9</v>
      </c>
      <c r="E28" s="31">
        <f>'декабрь 2014г. по 6-10'!E28+'декабрь 2014г. по 0,4'!E25</f>
        <v>694</v>
      </c>
      <c r="F28" s="31">
        <f>'декабрь 2014г. по 6-10'!F28+'декабрь 2014г. по 0,4'!F25</f>
        <v>6</v>
      </c>
      <c r="G28" s="31">
        <f>'декабрь 2014г. по 6-10'!G28+'декабрь 2014г. по 0,4'!G25</f>
        <v>494</v>
      </c>
      <c r="H28" s="24">
        <v>0</v>
      </c>
      <c r="I28" s="24">
        <v>0</v>
      </c>
      <c r="J28" s="31">
        <f>'декабрь 2014г. по 6-10'!J28+'декабрь 2014г. по 0,4'!J25</f>
        <v>8</v>
      </c>
      <c r="K28" s="31">
        <f>'декабрь 2014г. по 6-10'!K28+'декабрь 2014г. по 0,4'!K25</f>
        <v>334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</row>
    <row r="29" spans="1:17" ht="11.25" customHeight="1" x14ac:dyDescent="0.25">
      <c r="A29" s="18"/>
      <c r="B29" s="18"/>
      <c r="C29" s="19" t="s">
        <v>28</v>
      </c>
      <c r="D29" s="31">
        <f>'декабрь 2014г. по 6-10'!D29+'декабрь 2014г. по 0,4'!D26</f>
        <v>7</v>
      </c>
      <c r="E29" s="31">
        <f>'декабрь 2014г. по 6-10'!E29+'декабрь 2014г. по 0,4'!E26</f>
        <v>140</v>
      </c>
      <c r="F29" s="31">
        <f>'декабрь 2014г. по 6-10'!F29+'декабрь 2014г. по 0,4'!F26</f>
        <v>7</v>
      </c>
      <c r="G29" s="31">
        <f>'декабрь 2014г. по 6-10'!G29+'декабрь 2014г. по 0,4'!G26</f>
        <v>140</v>
      </c>
      <c r="H29" s="24">
        <v>1</v>
      </c>
      <c r="I29" s="24">
        <v>300</v>
      </c>
      <c r="J29" s="31">
        <f>'декабрь 2014г. по 6-10'!J29+'декабрь 2014г. по 0,4'!J26</f>
        <v>5</v>
      </c>
      <c r="K29" s="31">
        <f>'декабрь 2014г. по 6-10'!K29+'декабрь 2014г. по 0,4'!K26</f>
        <v>20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</row>
    <row r="30" spans="1:17" ht="16.5" customHeight="1" x14ac:dyDescent="0.2">
      <c r="A30" s="18"/>
      <c r="B30" s="18"/>
      <c r="C30" s="20" t="s">
        <v>30</v>
      </c>
      <c r="D30" s="29">
        <f>D23+D24+D25+D26+D27+D28+D29</f>
        <v>131</v>
      </c>
      <c r="E30" s="29">
        <f t="shared" ref="E30:Q30" si="0">E23+E24+E25+E26+E27+E28+E29</f>
        <v>5184</v>
      </c>
      <c r="F30" s="29">
        <f t="shared" si="0"/>
        <v>25</v>
      </c>
      <c r="G30" s="29">
        <f t="shared" si="0"/>
        <v>1609</v>
      </c>
      <c r="H30" s="29">
        <f t="shared" si="0"/>
        <v>3</v>
      </c>
      <c r="I30" s="29">
        <f t="shared" si="0"/>
        <v>311.2</v>
      </c>
      <c r="J30" s="29">
        <f t="shared" si="0"/>
        <v>94</v>
      </c>
      <c r="K30" s="29">
        <f t="shared" si="0"/>
        <v>1374</v>
      </c>
      <c r="L30" s="8">
        <f t="shared" si="0"/>
        <v>0</v>
      </c>
      <c r="M30" s="8">
        <f t="shared" si="0"/>
        <v>0</v>
      </c>
      <c r="N30" s="8">
        <f t="shared" si="0"/>
        <v>0</v>
      </c>
      <c r="O30" s="8">
        <f t="shared" si="0"/>
        <v>0</v>
      </c>
      <c r="P30" s="8">
        <f t="shared" si="0"/>
        <v>0</v>
      </c>
      <c r="Q30" s="8">
        <f t="shared" si="0"/>
        <v>0</v>
      </c>
    </row>
    <row r="31" spans="1:17" ht="26.25" customHeight="1" x14ac:dyDescent="0.25">
      <c r="A31" s="18"/>
      <c r="B31" s="18"/>
      <c r="C31" s="151" t="s">
        <v>29</v>
      </c>
      <c r="D31" s="152"/>
      <c r="E31" s="29"/>
      <c r="F31" s="29"/>
      <c r="G31" s="29"/>
      <c r="H31" s="29"/>
      <c r="I31" s="29"/>
      <c r="J31" s="29"/>
      <c r="K31" s="29"/>
      <c r="L31" s="8"/>
      <c r="M31" s="8"/>
      <c r="N31" s="8"/>
      <c r="O31" s="8"/>
      <c r="P31" s="8"/>
      <c r="Q31" s="8"/>
    </row>
    <row r="32" spans="1:17" ht="12" customHeight="1" x14ac:dyDescent="0.25">
      <c r="A32" s="18"/>
      <c r="B32" s="18"/>
      <c r="C32" s="19" t="s">
        <v>31</v>
      </c>
      <c r="D32" s="31">
        <f>'декабрь 2014г. по 6-10'!D32+'декабрь 2014г. по 0,4'!D29</f>
        <v>75</v>
      </c>
      <c r="E32" s="31">
        <f>'декабрь 2014г. по 6-10'!E32+'декабрь 2014г. по 0,4'!E29</f>
        <v>1909</v>
      </c>
      <c r="F32" s="31">
        <f>'декабрь 2014г. по 6-10'!F32+'декабрь 2014г. по 0,4'!F29</f>
        <v>51</v>
      </c>
      <c r="G32" s="31">
        <f>'декабрь 2014г. по 6-10'!G32+'декабрь 2014г. по 0,4'!G29</f>
        <v>1349</v>
      </c>
      <c r="H32" s="24">
        <v>0</v>
      </c>
      <c r="I32" s="24">
        <v>0</v>
      </c>
      <c r="J32" s="31">
        <f>'декабрь 2014г. по 6-10'!J32+'декабрь 2014г. по 0,4'!J29</f>
        <v>46</v>
      </c>
      <c r="K32" s="31">
        <f>'декабрь 2014г. по 6-10'!K32+'декабрь 2014г. по 0,4'!K29</f>
        <v>730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</row>
    <row r="33" spans="1:17" ht="12.75" customHeight="1" x14ac:dyDescent="0.25">
      <c r="A33" s="18"/>
      <c r="B33" s="18"/>
      <c r="C33" s="19" t="s">
        <v>32</v>
      </c>
      <c r="D33" s="31">
        <f>'декабрь 2014г. по 6-10'!D33+'декабрь 2014г. по 0,4'!D30</f>
        <v>33</v>
      </c>
      <c r="E33" s="31">
        <f>'декабрь 2014г. по 6-10'!E33+'декабрь 2014г. по 0,4'!E30</f>
        <v>1243</v>
      </c>
      <c r="F33" s="31">
        <f>'декабрь 2014г. по 6-10'!F33+'декабрь 2014г. по 0,4'!F30</f>
        <v>31</v>
      </c>
      <c r="G33" s="31">
        <f>'декабрь 2014г. по 6-10'!G33+'декабрь 2014г. по 0,4'!G30</f>
        <v>1189</v>
      </c>
      <c r="H33" s="24">
        <v>0</v>
      </c>
      <c r="I33" s="24">
        <v>0</v>
      </c>
      <c r="J33" s="31">
        <f>'декабрь 2014г. по 6-10'!J33+'декабрь 2014г. по 0,4'!J30</f>
        <v>30</v>
      </c>
      <c r="K33" s="31">
        <f>'декабрь 2014г. по 6-10'!K33+'декабрь 2014г. по 0,4'!K30</f>
        <v>540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</row>
    <row r="34" spans="1:17" ht="12.75" customHeight="1" x14ac:dyDescent="0.25">
      <c r="A34" s="18"/>
      <c r="B34" s="18"/>
      <c r="C34" s="19" t="s">
        <v>33</v>
      </c>
      <c r="D34" s="31">
        <f>'декабрь 2014г. по 6-10'!D34+'декабрь 2014г. по 0,4'!D31</f>
        <v>59</v>
      </c>
      <c r="E34" s="31">
        <f>'декабрь 2014г. по 6-10'!E34+'декабрь 2014г. по 0,4'!E31</f>
        <v>791</v>
      </c>
      <c r="F34" s="31">
        <f>'декабрь 2014г. по 6-10'!F34+'декабрь 2014г. по 0,4'!F31</f>
        <v>36</v>
      </c>
      <c r="G34" s="31">
        <f>'декабрь 2014г. по 6-10'!G34+'декабрь 2014г. по 0,4'!G31</f>
        <v>596</v>
      </c>
      <c r="H34" s="24">
        <v>0</v>
      </c>
      <c r="I34" s="24">
        <v>0</v>
      </c>
      <c r="J34" s="31">
        <f>'декабрь 2014г. по 6-10'!J34+'декабрь 2014г. по 0,4'!J31</f>
        <v>44</v>
      </c>
      <c r="K34" s="31">
        <f>'декабрь 2014г. по 6-10'!K34+'декабрь 2014г. по 0,4'!K31</f>
        <v>455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</row>
    <row r="35" spans="1:17" ht="12.75" customHeight="1" x14ac:dyDescent="0.25">
      <c r="A35" s="18"/>
      <c r="B35" s="18"/>
      <c r="C35" s="19" t="s">
        <v>34</v>
      </c>
      <c r="D35" s="31">
        <f>'декабрь 2014г. по 6-10'!D35+'декабрь 2014г. по 0,4'!D32</f>
        <v>71</v>
      </c>
      <c r="E35" s="31">
        <f>'декабрь 2014г. по 6-10'!E35+'декабрь 2014г. по 0,4'!E32</f>
        <v>1680</v>
      </c>
      <c r="F35" s="31">
        <f>'декабрь 2014г. по 6-10'!F35+'декабрь 2014г. по 0,4'!F32</f>
        <v>35</v>
      </c>
      <c r="G35" s="31">
        <f>'декабрь 2014г. по 6-10'!G35+'декабрь 2014г. по 0,4'!G32</f>
        <v>1067</v>
      </c>
      <c r="H35" s="24">
        <v>0</v>
      </c>
      <c r="I35" s="24">
        <v>0</v>
      </c>
      <c r="J35" s="31">
        <f>'декабрь 2014г. по 6-10'!J35+'декабрь 2014г. по 0,4'!J32</f>
        <v>57</v>
      </c>
      <c r="K35" s="31">
        <f>'декабрь 2014г. по 6-10'!K35+'декабрь 2014г. по 0,4'!K32</f>
        <v>945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</row>
    <row r="36" spans="1:17" ht="12.75" customHeight="1" x14ac:dyDescent="0.25">
      <c r="A36" s="18"/>
      <c r="B36" s="18"/>
      <c r="C36" s="19" t="s">
        <v>35</v>
      </c>
      <c r="D36" s="31">
        <f>'декабрь 2014г. по 6-10'!D36+'декабрь 2014г. по 0,4'!D33</f>
        <v>90</v>
      </c>
      <c r="E36" s="31">
        <f>'декабрь 2014г. по 6-10'!E36+'декабрь 2014г. по 0,4'!E33</f>
        <v>3682</v>
      </c>
      <c r="F36" s="31">
        <f>'декабрь 2014г. по 6-10'!F36+'декабрь 2014г. по 0,4'!F33</f>
        <v>90</v>
      </c>
      <c r="G36" s="31">
        <f>'декабрь 2014г. по 6-10'!G36+'декабрь 2014г. по 0,4'!G33</f>
        <v>2982</v>
      </c>
      <c r="H36" s="24">
        <v>0</v>
      </c>
      <c r="I36" s="24">
        <v>0</v>
      </c>
      <c r="J36" s="31">
        <f>'декабрь 2014г. по 6-10'!J36+'декабрь 2014г. по 0,4'!J33</f>
        <v>75</v>
      </c>
      <c r="K36" s="31">
        <f>'декабрь 2014г. по 6-10'!K36+'декабрь 2014г. по 0,4'!K33</f>
        <v>510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</row>
    <row r="37" spans="1:17" ht="12.75" customHeight="1" x14ac:dyDescent="0.25">
      <c r="A37" s="18"/>
      <c r="B37" s="18"/>
      <c r="C37" s="19" t="s">
        <v>36</v>
      </c>
      <c r="D37" s="31">
        <f>'декабрь 2014г. по 6-10'!D37+'декабрь 2014г. по 0,4'!D34</f>
        <v>31</v>
      </c>
      <c r="E37" s="31">
        <f>'декабрь 2014г. по 6-10'!E37+'декабрь 2014г. по 0,4'!E34</f>
        <v>1210</v>
      </c>
      <c r="F37" s="31">
        <f>'декабрь 2014г. по 6-10'!F37+'декабрь 2014г. по 0,4'!F34</f>
        <v>30</v>
      </c>
      <c r="G37" s="31">
        <f>'декабрь 2014г. по 6-10'!G37+'декабрь 2014г. по 0,4'!G34</f>
        <v>290</v>
      </c>
      <c r="H37" s="24">
        <v>0</v>
      </c>
      <c r="I37" s="24">
        <v>0</v>
      </c>
      <c r="J37" s="31">
        <f>'декабрь 2014г. по 6-10'!J37+'декабрь 2014г. по 0,4'!J34</f>
        <v>22</v>
      </c>
      <c r="K37" s="31">
        <f>'декабрь 2014г. по 6-10'!K37+'декабрь 2014г. по 0,4'!K34</f>
        <v>150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</row>
    <row r="38" spans="1:17" ht="12.75" customHeight="1" x14ac:dyDescent="0.2">
      <c r="A38" s="18"/>
      <c r="B38" s="18"/>
      <c r="C38" s="20" t="s">
        <v>30</v>
      </c>
      <c r="D38" s="29">
        <f>D32+D33+D34+D35+D36+D37</f>
        <v>359</v>
      </c>
      <c r="E38" s="29">
        <f t="shared" ref="E38:Q38" si="1">E32+E33+E34+E35+E36+E37</f>
        <v>10515</v>
      </c>
      <c r="F38" s="29">
        <f t="shared" si="1"/>
        <v>273</v>
      </c>
      <c r="G38" s="29">
        <f t="shared" si="1"/>
        <v>7473</v>
      </c>
      <c r="H38" s="29">
        <f t="shared" si="1"/>
        <v>0</v>
      </c>
      <c r="I38" s="29">
        <f t="shared" si="1"/>
        <v>0</v>
      </c>
      <c r="J38" s="29">
        <f t="shared" si="1"/>
        <v>274</v>
      </c>
      <c r="K38" s="29">
        <f t="shared" si="1"/>
        <v>3330</v>
      </c>
      <c r="L38" s="8">
        <f t="shared" si="1"/>
        <v>0</v>
      </c>
      <c r="M38" s="8">
        <f t="shared" si="1"/>
        <v>0</v>
      </c>
      <c r="N38" s="8">
        <f t="shared" si="1"/>
        <v>0</v>
      </c>
      <c r="O38" s="8">
        <f t="shared" si="1"/>
        <v>0</v>
      </c>
      <c r="P38" s="8">
        <f t="shared" si="1"/>
        <v>0</v>
      </c>
      <c r="Q38" s="8">
        <f t="shared" si="1"/>
        <v>0</v>
      </c>
    </row>
    <row r="39" spans="1:17" ht="22.5" customHeight="1" x14ac:dyDescent="0.25">
      <c r="A39" s="18"/>
      <c r="B39" s="18"/>
      <c r="C39" s="126" t="s">
        <v>37</v>
      </c>
      <c r="D39" s="126"/>
      <c r="E39" s="29"/>
      <c r="F39" s="29"/>
      <c r="G39" s="29"/>
      <c r="H39" s="29"/>
      <c r="I39" s="29"/>
      <c r="J39" s="29"/>
      <c r="K39" s="29"/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9" t="s">
        <v>38</v>
      </c>
      <c r="D40" s="31">
        <f>'декабрь 2014г. по 6-10'!D40+'декабрь 2014г. по 0,4'!D37</f>
        <v>80</v>
      </c>
      <c r="E40" s="31">
        <f>'декабрь 2014г. по 6-10'!E40+'декабрь 2014г. по 0,4'!E37</f>
        <v>580</v>
      </c>
      <c r="F40" s="31">
        <f>'декабрь 2014г. по 6-10'!F40+'декабрь 2014г. по 0,4'!F37</f>
        <v>50</v>
      </c>
      <c r="G40" s="31">
        <f>'декабрь 2014г. по 6-10'!G40+'декабрь 2014г. по 0,4'!G37</f>
        <v>330</v>
      </c>
      <c r="H40" s="24">
        <v>0</v>
      </c>
      <c r="I40" s="24">
        <v>0</v>
      </c>
      <c r="J40" s="31">
        <f>'декабрь 2014г. по 6-10'!J40+'декабрь 2014г. по 0,4'!J37</f>
        <v>87</v>
      </c>
      <c r="K40" s="31">
        <f>'декабрь 2014г. по 6-10'!K40+'декабрь 2014г. по 0,4'!K37</f>
        <v>910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</row>
    <row r="41" spans="1:17" ht="12.75" customHeight="1" x14ac:dyDescent="0.25">
      <c r="A41" s="18"/>
      <c r="B41" s="18"/>
      <c r="C41" s="19" t="s">
        <v>39</v>
      </c>
      <c r="D41" s="31">
        <f>'декабрь 2014г. по 6-10'!D41+'декабрь 2014г. по 0,4'!D38</f>
        <v>42</v>
      </c>
      <c r="E41" s="31">
        <f>'декабрь 2014г. по 6-10'!E41+'декабрь 2014г. по 0,4'!E38</f>
        <v>1744.45</v>
      </c>
      <c r="F41" s="31">
        <f>'декабрь 2014г. по 6-10'!F41+'декабрь 2014г. по 0,4'!F38</f>
        <v>30</v>
      </c>
      <c r="G41" s="31">
        <f>'декабрь 2014г. по 6-10'!G41+'декабрь 2014г. по 0,4'!G38</f>
        <v>430</v>
      </c>
      <c r="H41" s="24">
        <v>0</v>
      </c>
      <c r="I41" s="24">
        <v>0</v>
      </c>
      <c r="J41" s="31">
        <f>'декабрь 2014г. по 6-10'!J41+'декабрь 2014г. по 0,4'!J38</f>
        <v>30</v>
      </c>
      <c r="K41" s="31">
        <f>'декабрь 2014г. по 6-10'!K41+'декабрь 2014г. по 0,4'!K38</f>
        <v>200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</row>
    <row r="42" spans="1:17" ht="12.75" customHeight="1" x14ac:dyDescent="0.25">
      <c r="A42" s="18"/>
      <c r="B42" s="18"/>
      <c r="C42" s="19" t="s">
        <v>40</v>
      </c>
      <c r="D42" s="31">
        <f>'декабрь 2014г. по 6-10'!D42+'декабрь 2014г. по 0,4'!D39</f>
        <v>52</v>
      </c>
      <c r="E42" s="31">
        <f>'декабрь 2014г. по 6-10'!E42+'декабрь 2014г. по 0,4'!E39</f>
        <v>1241.0999999999999</v>
      </c>
      <c r="F42" s="31">
        <f>'декабрь 2014г. по 6-10'!F42+'декабрь 2014г. по 0,4'!F39</f>
        <v>42</v>
      </c>
      <c r="G42" s="31">
        <f>'декабрь 2014г. по 6-10'!G42+'декабрь 2014г. по 0,4'!G39</f>
        <v>1161.0999999999999</v>
      </c>
      <c r="H42" s="24">
        <v>0</v>
      </c>
      <c r="I42" s="24">
        <v>0</v>
      </c>
      <c r="J42" s="31">
        <f>'декабрь 2014г. по 6-10'!J42+'декабрь 2014г. по 0,4'!J39</f>
        <v>16</v>
      </c>
      <c r="K42" s="31">
        <f>'декабрь 2014г. по 6-10'!K42+'декабрь 2014г. по 0,4'!K39</f>
        <v>120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</row>
    <row r="43" spans="1:17" ht="12.75" customHeight="1" x14ac:dyDescent="0.25">
      <c r="A43" s="18"/>
      <c r="B43" s="18"/>
      <c r="C43" s="19" t="s">
        <v>41</v>
      </c>
      <c r="D43" s="31">
        <f>'декабрь 2014г. по 6-10'!D43+'декабрь 2014г. по 0,4'!D40</f>
        <v>36</v>
      </c>
      <c r="E43" s="31">
        <f>'декабрь 2014г. по 6-10'!E43+'декабрь 2014г. по 0,4'!E40</f>
        <v>828</v>
      </c>
      <c r="F43" s="31">
        <f>'декабрь 2014г. по 6-10'!F43+'декабрь 2014г. по 0,4'!F40</f>
        <v>23</v>
      </c>
      <c r="G43" s="31">
        <f>'декабрь 2014г. по 6-10'!G43+'декабрь 2014г. по 0,4'!G40</f>
        <v>410</v>
      </c>
      <c r="H43" s="24">
        <v>0</v>
      </c>
      <c r="I43" s="24">
        <v>0</v>
      </c>
      <c r="J43" s="31">
        <f>'декабрь 2014г. по 6-10'!J43+'декабрь 2014г. по 0,4'!J40</f>
        <v>22</v>
      </c>
      <c r="K43" s="31">
        <f>'декабрь 2014г. по 6-10'!K43+'декабрь 2014г. по 0,4'!K40</f>
        <v>100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</row>
    <row r="44" spans="1:17" ht="12.75" customHeight="1" x14ac:dyDescent="0.25">
      <c r="A44" s="18"/>
      <c r="B44" s="18"/>
      <c r="C44" s="19" t="s">
        <v>42</v>
      </c>
      <c r="D44" s="31">
        <f>'декабрь 2014г. по 6-10'!D44+'декабрь 2014г. по 0,4'!D41</f>
        <v>10</v>
      </c>
      <c r="E44" s="31">
        <f>'декабрь 2014г. по 6-10'!E44+'декабрь 2014г. по 0,4'!E41</f>
        <v>125</v>
      </c>
      <c r="F44" s="31">
        <f>'декабрь 2014г. по 6-10'!F44+'декабрь 2014г. по 0,4'!F41</f>
        <v>0</v>
      </c>
      <c r="G44" s="31">
        <f>'декабрь 2014г. по 6-10'!G44+'декабрь 2014г. по 0,4'!G41</f>
        <v>0</v>
      </c>
      <c r="H44" s="24">
        <v>0</v>
      </c>
      <c r="I44" s="24">
        <v>0</v>
      </c>
      <c r="J44" s="31">
        <f>'декабрь 2014г. по 6-10'!J44+'декабрь 2014г. по 0,4'!J41</f>
        <v>9</v>
      </c>
      <c r="K44" s="31">
        <f>'декабрь 2014г. по 6-10'!K44+'декабрь 2014г. по 0,4'!K41</f>
        <v>85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</row>
    <row r="45" spans="1:17" ht="12.75" customHeight="1" x14ac:dyDescent="0.25">
      <c r="A45" s="18"/>
      <c r="B45" s="18"/>
      <c r="C45" s="19" t="s">
        <v>43</v>
      </c>
      <c r="D45" s="31">
        <f>'декабрь 2014г. по 6-10'!D45+'декабрь 2014г. по 0,4'!D42</f>
        <v>7</v>
      </c>
      <c r="E45" s="31">
        <f>'декабрь 2014г. по 6-10'!E45+'декабрь 2014г. по 0,4'!E42</f>
        <v>329</v>
      </c>
      <c r="F45" s="31">
        <f>'декабрь 2014г. по 6-10'!F45+'декабрь 2014г. по 0,4'!F42</f>
        <v>7</v>
      </c>
      <c r="G45" s="31">
        <f>'декабрь 2014г. по 6-10'!G45+'декабрь 2014г. по 0,4'!G42</f>
        <v>329</v>
      </c>
      <c r="H45" s="24">
        <v>0</v>
      </c>
      <c r="I45" s="24">
        <v>0</v>
      </c>
      <c r="J45" s="31">
        <f>'декабрь 2014г. по 6-10'!J45+'декабрь 2014г. по 0,4'!J42</f>
        <v>4</v>
      </c>
      <c r="K45" s="31">
        <f>'декабрь 2014г. по 6-10'!K45+'декабрь 2014г. по 0,4'!K42</f>
        <v>110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</row>
    <row r="46" spans="1:17" ht="12.75" customHeight="1" x14ac:dyDescent="0.25">
      <c r="A46" s="18"/>
      <c r="B46" s="18"/>
      <c r="C46" s="19" t="s">
        <v>44</v>
      </c>
      <c r="D46" s="31">
        <f>'декабрь 2014г. по 6-10'!D46+'декабрь 2014г. по 0,4'!D43</f>
        <v>10</v>
      </c>
      <c r="E46" s="31">
        <f>'декабрь 2014г. по 6-10'!E46+'декабрь 2014г. по 0,4'!E43</f>
        <v>242</v>
      </c>
      <c r="F46" s="31">
        <f>'декабрь 2014г. по 6-10'!F46+'декабрь 2014г. по 0,4'!F43</f>
        <v>9</v>
      </c>
      <c r="G46" s="31">
        <f>'декабрь 2014г. по 6-10'!G46+'декабрь 2014г. по 0,4'!G43</f>
        <v>202</v>
      </c>
      <c r="H46" s="24">
        <v>0</v>
      </c>
      <c r="I46" s="24">
        <v>0</v>
      </c>
      <c r="J46" s="31">
        <f>'декабрь 2014г. по 6-10'!J46+'декабрь 2014г. по 0,4'!J43</f>
        <v>11</v>
      </c>
      <c r="K46" s="31">
        <f>'декабрь 2014г. по 6-10'!K46+'декабрь 2014г. по 0,4'!K43</f>
        <v>55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</row>
    <row r="47" spans="1:17" ht="12.75" customHeight="1" x14ac:dyDescent="0.25">
      <c r="A47" s="18"/>
      <c r="B47" s="18"/>
      <c r="C47" s="19" t="s">
        <v>45</v>
      </c>
      <c r="D47" s="31">
        <f>'декабрь 2014г. по 6-10'!D47+'декабрь 2014г. по 0,4'!D44</f>
        <v>1</v>
      </c>
      <c r="E47" s="31">
        <f>'декабрь 2014г. по 6-10'!E47+'декабрь 2014г. по 0,4'!E44</f>
        <v>75</v>
      </c>
      <c r="F47" s="31">
        <f>'декабрь 2014г. по 6-10'!F47+'декабрь 2014г. по 0,4'!F44</f>
        <v>0</v>
      </c>
      <c r="G47" s="31">
        <f>'декабрь 2014г. по 6-10'!G47+'декабрь 2014г. по 0,4'!G44</f>
        <v>0</v>
      </c>
      <c r="H47" s="24">
        <v>0</v>
      </c>
      <c r="I47" s="24">
        <v>0</v>
      </c>
      <c r="J47" s="31">
        <f>'декабрь 2014г. по 6-10'!J47+'декабрь 2014г. по 0,4'!J44</f>
        <v>1</v>
      </c>
      <c r="K47" s="31">
        <f>'декабрь 2014г. по 6-10'!K47+'декабрь 2014г. по 0,4'!K44</f>
        <v>75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</row>
    <row r="48" spans="1:17" ht="12.75" customHeight="1" x14ac:dyDescent="0.25">
      <c r="A48" s="18"/>
      <c r="B48" s="18"/>
      <c r="C48" s="19" t="s">
        <v>46</v>
      </c>
      <c r="D48" s="31">
        <f>'декабрь 2014г. по 6-10'!D48+'декабрь 2014г. по 0,4'!D45</f>
        <v>43</v>
      </c>
      <c r="E48" s="31">
        <f>'декабрь 2014г. по 6-10'!E48+'декабрь 2014г. по 0,4'!E45</f>
        <v>1837</v>
      </c>
      <c r="F48" s="31">
        <f>'декабрь 2014г. по 6-10'!F48+'декабрь 2014г. по 0,4'!F45</f>
        <v>36</v>
      </c>
      <c r="G48" s="31">
        <f>'декабрь 2014г. по 6-10'!G48+'декабрь 2014г. по 0,4'!G45</f>
        <v>967</v>
      </c>
      <c r="H48" s="24">
        <v>0</v>
      </c>
      <c r="I48" s="24">
        <v>0</v>
      </c>
      <c r="J48" s="31">
        <f>'декабрь 2014г. по 6-10'!J48+'декабрь 2014г. по 0,4'!J45</f>
        <v>34</v>
      </c>
      <c r="K48" s="31">
        <f>'декабрь 2014г. по 6-10'!K48+'декабрь 2014г. по 0,4'!K45</f>
        <v>901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</row>
    <row r="49" spans="1:17" ht="12.75" customHeight="1" x14ac:dyDescent="0.25">
      <c r="A49" s="18"/>
      <c r="B49" s="18"/>
      <c r="C49" s="19" t="s">
        <v>47</v>
      </c>
      <c r="D49" s="31">
        <f>'декабрь 2014г. по 6-10'!D49+'декабрь 2014г. по 0,4'!D46</f>
        <v>4</v>
      </c>
      <c r="E49" s="31">
        <f>'декабрь 2014г. по 6-10'!E49+'декабрь 2014г. по 0,4'!E46</f>
        <v>451.1</v>
      </c>
      <c r="F49" s="31">
        <f>'декабрь 2014г. по 6-10'!F49+'декабрь 2014г. по 0,4'!F46</f>
        <v>4</v>
      </c>
      <c r="G49" s="31">
        <f>'декабрь 2014г. по 6-10'!G49+'декабрь 2014г. по 0,4'!G46</f>
        <v>451.1</v>
      </c>
      <c r="H49" s="24">
        <v>0</v>
      </c>
      <c r="I49" s="24">
        <v>0</v>
      </c>
      <c r="J49" s="31">
        <f>'декабрь 2014г. по 6-10'!J49+'декабрь 2014г. по 0,4'!J46</f>
        <v>5</v>
      </c>
      <c r="K49" s="31">
        <f>'декабрь 2014г. по 6-10'!K49+'декабрь 2014г. по 0,4'!K46</f>
        <v>136.1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</row>
    <row r="50" spans="1:17" ht="12.75" customHeight="1" x14ac:dyDescent="0.25">
      <c r="A50" s="18"/>
      <c r="B50" s="18"/>
      <c r="C50" s="19" t="s">
        <v>48</v>
      </c>
      <c r="D50" s="31">
        <f>'декабрь 2014г. по 6-10'!D50+'декабрь 2014г. по 0,4'!D47</f>
        <v>18</v>
      </c>
      <c r="E50" s="31">
        <f>'декабрь 2014г. по 6-10'!E50+'декабрь 2014г. по 0,4'!E47</f>
        <v>293</v>
      </c>
      <c r="F50" s="31">
        <f>'декабрь 2014г. по 6-10'!F50+'декабрь 2014г. по 0,4'!F47</f>
        <v>3</v>
      </c>
      <c r="G50" s="31">
        <f>'декабрь 2014г. по 6-10'!G50+'декабрь 2014г. по 0,4'!G47</f>
        <v>183</v>
      </c>
      <c r="H50" s="24">
        <v>0</v>
      </c>
      <c r="I50" s="24">
        <v>0</v>
      </c>
      <c r="J50" s="31">
        <f>'декабрь 2014г. по 6-10'!J50+'декабрь 2014г. по 0,4'!J47</f>
        <v>15</v>
      </c>
      <c r="K50" s="31">
        <f>'декабрь 2014г. по 6-10'!K50+'декабрь 2014г. по 0,4'!K47</f>
        <v>110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</row>
    <row r="51" spans="1:17" ht="12.75" customHeight="1" x14ac:dyDescent="0.25">
      <c r="A51" s="18"/>
      <c r="B51" s="18"/>
      <c r="C51" s="19" t="s">
        <v>49</v>
      </c>
      <c r="D51" s="31">
        <f>'декабрь 2014г. по 6-10'!D51+'декабрь 2014г. по 0,4'!D48</f>
        <v>13</v>
      </c>
      <c r="E51" s="31">
        <f>'декабрь 2014г. по 6-10'!E51+'декабрь 2014г. по 0,4'!E48</f>
        <v>1050</v>
      </c>
      <c r="F51" s="31">
        <f>'декабрь 2014г. по 6-10'!F51+'декабрь 2014г. по 0,4'!F48</f>
        <v>10</v>
      </c>
      <c r="G51" s="31">
        <f>'декабрь 2014г. по 6-10'!G51+'декабрь 2014г. по 0,4'!G48</f>
        <v>515</v>
      </c>
      <c r="H51" s="24">
        <v>0</v>
      </c>
      <c r="I51" s="24">
        <v>0</v>
      </c>
      <c r="J51" s="31">
        <f>'декабрь 2014г. по 6-10'!J51+'декабрь 2014г. по 0,4'!J48</f>
        <v>5</v>
      </c>
      <c r="K51" s="31">
        <f>'декабрь 2014г. по 6-10'!K51+'декабрь 2014г. по 0,4'!K48</f>
        <v>45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</row>
    <row r="52" spans="1:17" ht="12.75" customHeight="1" x14ac:dyDescent="0.2">
      <c r="A52" s="18"/>
      <c r="B52" s="18"/>
      <c r="C52" s="20" t="s">
        <v>30</v>
      </c>
      <c r="D52" s="29">
        <f>D40+D41+D42+D43+D44+D45+D46+D47+D48+D49+D50+D51</f>
        <v>316</v>
      </c>
      <c r="E52" s="29">
        <f t="shared" ref="E52:Q52" si="2">E40+E41+E42+E43+E44+E45+E46+E47+E48+E49+E50+E51</f>
        <v>8795.65</v>
      </c>
      <c r="F52" s="29">
        <f t="shared" si="2"/>
        <v>214</v>
      </c>
      <c r="G52" s="29">
        <f t="shared" si="2"/>
        <v>4978.2</v>
      </c>
      <c r="H52" s="29">
        <f t="shared" si="2"/>
        <v>0</v>
      </c>
      <c r="I52" s="29">
        <f t="shared" si="2"/>
        <v>0</v>
      </c>
      <c r="J52" s="29">
        <f t="shared" si="2"/>
        <v>239</v>
      </c>
      <c r="K52" s="29">
        <f t="shared" si="2"/>
        <v>2847.1</v>
      </c>
      <c r="L52" s="8">
        <f t="shared" si="2"/>
        <v>0</v>
      </c>
      <c r="M52" s="8">
        <f t="shared" si="2"/>
        <v>0</v>
      </c>
      <c r="N52" s="8">
        <f t="shared" si="2"/>
        <v>0</v>
      </c>
      <c r="O52" s="8">
        <f t="shared" si="2"/>
        <v>0</v>
      </c>
      <c r="P52" s="8">
        <f t="shared" si="2"/>
        <v>0</v>
      </c>
      <c r="Q52" s="8">
        <f t="shared" si="2"/>
        <v>0</v>
      </c>
    </row>
    <row r="53" spans="1:17" ht="21" customHeight="1" x14ac:dyDescent="0.25">
      <c r="A53" s="18"/>
      <c r="B53" s="18"/>
      <c r="C53" s="126" t="s">
        <v>50</v>
      </c>
      <c r="D53" s="126"/>
      <c r="E53" s="29"/>
      <c r="F53" s="29"/>
      <c r="G53" s="29"/>
      <c r="H53" s="29"/>
      <c r="I53" s="29"/>
      <c r="J53" s="29"/>
      <c r="K53" s="29"/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9" t="s">
        <v>51</v>
      </c>
      <c r="D54" s="31">
        <f>'декабрь 2014г. по 6-10'!D54+'декабрь 2014г. по 0,4'!D51</f>
        <v>5</v>
      </c>
      <c r="E54" s="31">
        <f>'декабрь 2014г. по 6-10'!E54+'декабрь 2014г. по 0,4'!E51</f>
        <v>438</v>
      </c>
      <c r="F54" s="31">
        <f>'декабрь 2014г. по 6-10'!F54+'декабрь 2014г. по 0,4'!F51</f>
        <v>5</v>
      </c>
      <c r="G54" s="31">
        <f>'декабрь 2014г. по 6-10'!G54+'декабрь 2014г. по 0,4'!G51</f>
        <v>438</v>
      </c>
      <c r="H54" s="24">
        <v>2</v>
      </c>
      <c r="I54" s="24">
        <v>350</v>
      </c>
      <c r="J54" s="31">
        <f>'декабрь 2014г. по 6-10'!J54+'декабрь 2014г. по 0,4'!J51</f>
        <v>2</v>
      </c>
      <c r="K54" s="31">
        <f>'декабрь 2014г. по 6-10'!K54+'декабрь 2014г. по 0,4'!K51</f>
        <v>18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</row>
    <row r="55" spans="1:17" ht="12.75" customHeight="1" x14ac:dyDescent="0.25">
      <c r="A55" s="18"/>
      <c r="B55" s="18"/>
      <c r="C55" s="19" t="s">
        <v>52</v>
      </c>
      <c r="D55" s="31">
        <f>'декабрь 2014г. по 6-10'!D55+'декабрь 2014г. по 0,4'!D52</f>
        <v>3</v>
      </c>
      <c r="E55" s="31">
        <f>'декабрь 2014г. по 6-10'!E55+'декабрь 2014г. по 0,4'!E52</f>
        <v>64</v>
      </c>
      <c r="F55" s="31">
        <f>'декабрь 2014г. по 6-10'!F55+'декабрь 2014г. по 0,4'!F52</f>
        <v>2</v>
      </c>
      <c r="G55" s="31">
        <f>'декабрь 2014г. по 6-10'!G55+'декабрь 2014г. по 0,4'!G52</f>
        <v>24</v>
      </c>
      <c r="H55" s="24">
        <v>0</v>
      </c>
      <c r="I55" s="24">
        <v>0</v>
      </c>
      <c r="J55" s="31">
        <f>'декабрь 2014г. по 6-10'!J55+'декабрь 2014г. по 0,4'!J52</f>
        <v>2</v>
      </c>
      <c r="K55" s="31">
        <f>'декабрь 2014г. по 6-10'!K55+'декабрь 2014г. по 0,4'!K52</f>
        <v>24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</row>
    <row r="56" spans="1:17" ht="12.75" customHeight="1" x14ac:dyDescent="0.25">
      <c r="A56" s="18"/>
      <c r="B56" s="18"/>
      <c r="C56" s="19" t="s">
        <v>53</v>
      </c>
      <c r="D56" s="31">
        <f>'декабрь 2014г. по 6-10'!D56+'декабрь 2014г. по 0,4'!D53</f>
        <v>7</v>
      </c>
      <c r="E56" s="31">
        <f>'декабрь 2014г. по 6-10'!E56+'декабрь 2014г. по 0,4'!E53</f>
        <v>148</v>
      </c>
      <c r="F56" s="31">
        <f>'декабрь 2014г. по 6-10'!F56+'декабрь 2014г. по 0,4'!F53</f>
        <v>5</v>
      </c>
      <c r="G56" s="31">
        <f>'декабрь 2014г. по 6-10'!G56+'декабрь 2014г. по 0,4'!G53</f>
        <v>129</v>
      </c>
      <c r="H56" s="24">
        <v>0</v>
      </c>
      <c r="I56" s="24">
        <v>0</v>
      </c>
      <c r="J56" s="31">
        <f>'декабрь 2014г. по 6-10'!J56+'декабрь 2014г. по 0,4'!J53</f>
        <v>4</v>
      </c>
      <c r="K56" s="31">
        <f>'декабрь 2014г. по 6-10'!K56+'декабрь 2014г. по 0,4'!K53</f>
        <v>28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</row>
    <row r="57" spans="1:17" ht="12.75" customHeight="1" x14ac:dyDescent="0.25">
      <c r="A57" s="18"/>
      <c r="B57" s="18"/>
      <c r="C57" s="19" t="s">
        <v>54</v>
      </c>
      <c r="D57" s="31">
        <f>'декабрь 2014г. по 6-10'!D57+'декабрь 2014г. по 0,4'!D54</f>
        <v>4</v>
      </c>
      <c r="E57" s="31">
        <f>'декабрь 2014г. по 6-10'!E57+'декабрь 2014г. по 0,4'!E54</f>
        <v>155</v>
      </c>
      <c r="F57" s="31">
        <f>'декабрь 2014г. по 6-10'!F57+'декабрь 2014г. по 0,4'!F54</f>
        <v>3</v>
      </c>
      <c r="G57" s="31">
        <f>'декабрь 2014г. по 6-10'!G57+'декабрь 2014г. по 0,4'!G54</f>
        <v>145</v>
      </c>
      <c r="H57" s="24">
        <v>0</v>
      </c>
      <c r="I57" s="24">
        <v>0</v>
      </c>
      <c r="J57" s="31">
        <f>'декабрь 2014г. по 6-10'!J57+'декабрь 2014г. по 0,4'!J54</f>
        <v>2</v>
      </c>
      <c r="K57" s="31">
        <f>'декабрь 2014г. по 6-10'!K57+'декабрь 2014г. по 0,4'!K54</f>
        <v>14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</row>
    <row r="58" spans="1:17" ht="12.75" customHeight="1" x14ac:dyDescent="0.25">
      <c r="A58" s="18"/>
      <c r="B58" s="18"/>
      <c r="C58" s="19" t="s">
        <v>55</v>
      </c>
      <c r="D58" s="31">
        <f>'декабрь 2014г. по 6-10'!D58+'декабрь 2014г. по 0,4'!D55</f>
        <v>27</v>
      </c>
      <c r="E58" s="31">
        <f>'декабрь 2014г. по 6-10'!E58+'декабрь 2014г. по 0,4'!E55</f>
        <v>725</v>
      </c>
      <c r="F58" s="31">
        <f>'декабрь 2014г. по 6-10'!F58+'декабрь 2014г. по 0,4'!F55</f>
        <v>13</v>
      </c>
      <c r="G58" s="31">
        <f>'декабрь 2014г. по 6-10'!G58+'декабрь 2014г. по 0,4'!G55</f>
        <v>273</v>
      </c>
      <c r="H58" s="24">
        <v>0</v>
      </c>
      <c r="I58" s="24">
        <v>0</v>
      </c>
      <c r="J58" s="31">
        <f>'декабрь 2014г. по 6-10'!J58+'декабрь 2014г. по 0,4'!J55</f>
        <v>25</v>
      </c>
      <c r="K58" s="31">
        <f>'декабрь 2014г. по 6-10'!K58+'декабрь 2014г. по 0,4'!K55</f>
        <v>395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</row>
    <row r="59" spans="1:17" ht="12.75" customHeight="1" x14ac:dyDescent="0.25">
      <c r="A59" s="18"/>
      <c r="B59" s="18"/>
      <c r="C59" s="19" t="s">
        <v>56</v>
      </c>
      <c r="D59" s="31">
        <f>'декабрь 2014г. по 6-10'!D59+'декабрь 2014г. по 0,4'!D56</f>
        <v>13</v>
      </c>
      <c r="E59" s="31">
        <f>'декабрь 2014г. по 6-10'!E59+'декабрь 2014г. по 0,4'!E56</f>
        <v>246</v>
      </c>
      <c r="F59" s="31">
        <f>'декабрь 2014г. по 6-10'!F59+'декабрь 2014г. по 0,4'!F56</f>
        <v>2</v>
      </c>
      <c r="G59" s="31">
        <f>'декабрь 2014г. по 6-10'!G59+'декабрь 2014г. по 0,4'!G56</f>
        <v>10</v>
      </c>
      <c r="H59" s="24">
        <v>2</v>
      </c>
      <c r="I59" s="24">
        <v>395</v>
      </c>
      <c r="J59" s="31">
        <f>'декабрь 2014г. по 6-10'!J59+'декабрь 2014г. по 0,4'!J56</f>
        <v>12</v>
      </c>
      <c r="K59" s="31">
        <f>'декабрь 2014г. по 6-10'!K59+'декабрь 2014г. по 0,4'!K56</f>
        <v>150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</row>
    <row r="60" spans="1:17" ht="12.75" customHeight="1" x14ac:dyDescent="0.25">
      <c r="A60" s="18"/>
      <c r="B60" s="18"/>
      <c r="C60" s="19" t="s">
        <v>57</v>
      </c>
      <c r="D60" s="31">
        <f>'декабрь 2014г. по 6-10'!D60+'декабрь 2014г. по 0,4'!D57</f>
        <v>17</v>
      </c>
      <c r="E60" s="31">
        <f>'декабрь 2014г. по 6-10'!E60+'декабрь 2014г. по 0,4'!E57</f>
        <v>277</v>
      </c>
      <c r="F60" s="31">
        <f>'декабрь 2014г. по 6-10'!F60+'декабрь 2014г. по 0,4'!F57</f>
        <v>5</v>
      </c>
      <c r="G60" s="31">
        <f>'декабрь 2014г. по 6-10'!G60+'декабрь 2014г. по 0,4'!G57</f>
        <v>196</v>
      </c>
      <c r="H60" s="24">
        <v>0</v>
      </c>
      <c r="I60" s="24">
        <v>0</v>
      </c>
      <c r="J60" s="31">
        <f>'декабрь 2014г. по 6-10'!J60+'декабрь 2014г. по 0,4'!J57</f>
        <v>15</v>
      </c>
      <c r="K60" s="31">
        <f>'декабрь 2014г. по 6-10'!K60+'декабрь 2014г. по 0,4'!K57</f>
        <v>102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</row>
    <row r="61" spans="1:17" ht="12.75" customHeight="1" x14ac:dyDescent="0.25">
      <c r="A61" s="18"/>
      <c r="B61" s="18"/>
      <c r="C61" s="19" t="s">
        <v>58</v>
      </c>
      <c r="D61" s="31">
        <f>'декабрь 2014г. по 6-10'!D61+'декабрь 2014г. по 0,4'!D58</f>
        <v>0</v>
      </c>
      <c r="E61" s="31">
        <f>'декабрь 2014г. по 6-10'!E61+'декабрь 2014г. по 0,4'!E58</f>
        <v>0</v>
      </c>
      <c r="F61" s="31">
        <f>'декабрь 2014г. по 6-10'!F61+'декабрь 2014г. по 0,4'!F58</f>
        <v>0</v>
      </c>
      <c r="G61" s="31">
        <f>'декабрь 2014г. по 6-10'!G61+'декабрь 2014г. по 0,4'!G58</f>
        <v>0</v>
      </c>
      <c r="H61" s="24">
        <v>0</v>
      </c>
      <c r="I61" s="24">
        <v>0</v>
      </c>
      <c r="J61" s="31">
        <f>'декабрь 2014г. по 6-10'!J61+'декабрь 2014г. по 0,4'!J58</f>
        <v>0</v>
      </c>
      <c r="K61" s="31">
        <f>'декабрь 2014г. по 6-10'!K61+'декабрь 2014г. по 0,4'!K58</f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</row>
    <row r="62" spans="1:17" ht="12.75" customHeight="1" x14ac:dyDescent="0.25">
      <c r="A62" s="18"/>
      <c r="B62" s="18"/>
      <c r="C62" s="19" t="s">
        <v>59</v>
      </c>
      <c r="D62" s="31">
        <f>'декабрь 2014г. по 6-10'!D62+'декабрь 2014г. по 0,4'!D59</f>
        <v>2</v>
      </c>
      <c r="E62" s="31">
        <f>'декабрь 2014г. по 6-10'!E62+'декабрь 2014г. по 0,4'!E59</f>
        <v>15</v>
      </c>
      <c r="F62" s="31">
        <f>'декабрь 2014г. по 6-10'!F62+'декабрь 2014г. по 0,4'!F59</f>
        <v>2</v>
      </c>
      <c r="G62" s="31">
        <f>'декабрь 2014г. по 6-10'!G62+'декабрь 2014г. по 0,4'!G59</f>
        <v>15</v>
      </c>
      <c r="H62" s="24">
        <v>0</v>
      </c>
      <c r="I62" s="24">
        <v>0</v>
      </c>
      <c r="J62" s="31">
        <f>'декабрь 2014г. по 6-10'!J62+'декабрь 2014г. по 0,4'!J59</f>
        <v>2</v>
      </c>
      <c r="K62" s="31">
        <f>'декабрь 2014г. по 6-10'!K62+'декабрь 2014г. по 0,4'!K59</f>
        <v>15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</row>
    <row r="63" spans="1:17" ht="12.75" customHeight="1" x14ac:dyDescent="0.2">
      <c r="A63" s="18"/>
      <c r="B63" s="18"/>
      <c r="C63" s="19" t="s">
        <v>30</v>
      </c>
      <c r="D63" s="29">
        <f>D54+D55+D56+D57+D58+D59+D60+D61+D62</f>
        <v>78</v>
      </c>
      <c r="E63" s="29">
        <f t="shared" ref="E63:Q63" si="3">E54+E55+E56+E57+E58+E59+E60+E61+E62</f>
        <v>2068</v>
      </c>
      <c r="F63" s="29">
        <f t="shared" si="3"/>
        <v>37</v>
      </c>
      <c r="G63" s="29">
        <f t="shared" si="3"/>
        <v>1230</v>
      </c>
      <c r="H63" s="29">
        <f t="shared" si="3"/>
        <v>4</v>
      </c>
      <c r="I63" s="29">
        <f t="shared" si="3"/>
        <v>745</v>
      </c>
      <c r="J63" s="29">
        <f t="shared" si="3"/>
        <v>64</v>
      </c>
      <c r="K63" s="29">
        <f t="shared" si="3"/>
        <v>746</v>
      </c>
      <c r="L63" s="8">
        <f t="shared" si="3"/>
        <v>0</v>
      </c>
      <c r="M63" s="8">
        <f t="shared" si="3"/>
        <v>0</v>
      </c>
      <c r="N63" s="8">
        <f t="shared" si="3"/>
        <v>0</v>
      </c>
      <c r="O63" s="8">
        <f t="shared" si="3"/>
        <v>0</v>
      </c>
      <c r="P63" s="8">
        <f t="shared" si="3"/>
        <v>0</v>
      </c>
      <c r="Q63" s="8">
        <f t="shared" si="3"/>
        <v>0</v>
      </c>
    </row>
    <row r="64" spans="1:17" ht="19.5" customHeight="1" x14ac:dyDescent="0.25">
      <c r="A64" s="18"/>
      <c r="B64" s="18"/>
      <c r="C64" s="126" t="s">
        <v>60</v>
      </c>
      <c r="D64" s="126"/>
      <c r="E64" s="29"/>
      <c r="F64" s="29"/>
      <c r="G64" s="29"/>
      <c r="H64" s="24"/>
      <c r="I64" s="24"/>
      <c r="J64" s="29"/>
      <c r="K64" s="29"/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18"/>
      <c r="C65" s="19" t="s">
        <v>61</v>
      </c>
      <c r="D65" s="31">
        <f>'декабрь 2014г. по 6-10'!D64+'декабрь 2014г. по 0,4'!D61</f>
        <v>1172</v>
      </c>
      <c r="E65" s="31">
        <f>'декабрь 2014г. по 6-10'!E64+'декабрь 2014г. по 0,4'!E61</f>
        <v>32714.149999999998</v>
      </c>
      <c r="F65" s="31">
        <f>'декабрь 2014г. по 6-10'!F64+'декабрь 2014г. по 0,4'!F61</f>
        <v>767</v>
      </c>
      <c r="G65" s="31">
        <f>'декабрь 2014г. по 6-10'!G64+'декабрь 2014г. по 0,4'!G61</f>
        <v>18914.599999999999</v>
      </c>
      <c r="H65" s="24">
        <v>0</v>
      </c>
      <c r="I65" s="24">
        <v>0</v>
      </c>
      <c r="J65" s="31">
        <f>'декабрь 2014г. по 6-10'!J64+'декабрь 2014г. по 0,4'!J61</f>
        <v>905</v>
      </c>
      <c r="K65" s="31">
        <f>'декабрь 2014г. по 6-10'!K64+'декабрь 2014г. по 0,4'!K61</f>
        <v>11179.1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</row>
    <row r="66" spans="1:17" ht="12.75" customHeight="1" x14ac:dyDescent="0.25">
      <c r="A66" s="18"/>
      <c r="B66" s="18"/>
      <c r="C66" s="19" t="s">
        <v>62</v>
      </c>
      <c r="D66" s="31">
        <f>'декабрь 2014г. по 6-10'!D65+'декабрь 2014г. по 0,4'!D62</f>
        <v>0</v>
      </c>
      <c r="E66" s="31">
        <f>'декабрь 2014г. по 6-10'!E65+'декабрь 2014г. по 0,4'!E62</f>
        <v>0</v>
      </c>
      <c r="F66" s="31">
        <f>'декабрь 2014г. по 6-10'!F65+'декабрь 2014г. по 0,4'!F62</f>
        <v>0</v>
      </c>
      <c r="G66" s="31">
        <f>'декабрь 2014г. по 6-10'!G65+'декабрь 2014г. по 0,4'!G62</f>
        <v>0</v>
      </c>
      <c r="H66" s="24">
        <v>0</v>
      </c>
      <c r="I66" s="24">
        <v>0</v>
      </c>
      <c r="J66" s="31">
        <f>'декабрь 2014г. по 6-10'!J65+'декабрь 2014г. по 0,4'!J62</f>
        <v>0</v>
      </c>
      <c r="K66" s="31">
        <f>'декабрь 2014г. по 6-10'!K65+'декабрь 2014г. по 0,4'!K62</f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</row>
    <row r="67" spans="1:17" ht="12.75" customHeight="1" x14ac:dyDescent="0.25">
      <c r="A67" s="18"/>
      <c r="B67" s="18"/>
      <c r="C67" s="19" t="s">
        <v>63</v>
      </c>
      <c r="D67" s="31">
        <f>'декабрь 2014г. по 6-10'!D66+'декабрь 2014г. по 0,4'!D63</f>
        <v>114</v>
      </c>
      <c r="E67" s="31">
        <f>'декабрь 2014г. по 6-10'!E66+'декабрь 2014г. по 0,4'!E63</f>
        <v>3259.09</v>
      </c>
      <c r="F67" s="31">
        <f>'декабрь 2014г. по 6-10'!F66+'декабрь 2014г. по 0,4'!F63</f>
        <v>86</v>
      </c>
      <c r="G67" s="31">
        <f>'декабрь 2014г. по 6-10'!G66+'декабрь 2014г. по 0,4'!G63</f>
        <v>1473</v>
      </c>
      <c r="H67" s="24">
        <v>0</v>
      </c>
      <c r="I67" s="24">
        <v>0</v>
      </c>
      <c r="J67" s="31">
        <f>'декабрь 2014г. по 6-10'!J66+'декабрь 2014г. по 0,4'!J63</f>
        <v>46</v>
      </c>
      <c r="K67" s="31">
        <f>'декабрь 2014г. по 6-10'!K66+'декабрь 2014г. по 0,4'!K63</f>
        <v>580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</row>
    <row r="68" spans="1:17" ht="12.75" customHeight="1" x14ac:dyDescent="0.25">
      <c r="A68" s="18"/>
      <c r="B68" s="18"/>
      <c r="C68" s="19" t="s">
        <v>64</v>
      </c>
      <c r="D68" s="31">
        <f>'декабрь 2014г. по 6-10'!D67+'декабрь 2014г. по 0,4'!D64</f>
        <v>56</v>
      </c>
      <c r="E68" s="31">
        <f>'декабрь 2014г. по 6-10'!E67+'декабрь 2014г. по 0,4'!E64</f>
        <v>1597.5</v>
      </c>
      <c r="F68" s="31">
        <f>'декабрь 2014г. по 6-10'!F67+'декабрь 2014г. по 0,4'!F64</f>
        <v>45</v>
      </c>
      <c r="G68" s="31">
        <f>'декабрь 2014г. по 6-10'!G67+'декабрь 2014г. по 0,4'!G64</f>
        <v>735.5</v>
      </c>
      <c r="H68" s="24">
        <v>0</v>
      </c>
      <c r="I68" s="24">
        <v>0</v>
      </c>
      <c r="J68" s="31">
        <f>'декабрь 2014г. по 6-10'!J67+'декабрь 2014г. по 0,4'!J64</f>
        <v>36</v>
      </c>
      <c r="K68" s="31">
        <f>'декабрь 2014г. по 6-10'!K67+'декабрь 2014г. по 0,4'!K64</f>
        <v>790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</row>
    <row r="69" spans="1:17" ht="12.75" customHeight="1" x14ac:dyDescent="0.25">
      <c r="A69" s="18"/>
      <c r="B69" s="18"/>
      <c r="C69" s="19" t="s">
        <v>65</v>
      </c>
      <c r="D69" s="31">
        <f>'декабрь 2014г. по 6-10'!D68+'декабрь 2014г. по 0,4'!D65</f>
        <v>37</v>
      </c>
      <c r="E69" s="31">
        <f>'декабрь 2014г. по 6-10'!E68+'декабрь 2014г. по 0,4'!E65</f>
        <v>1160</v>
      </c>
      <c r="F69" s="31">
        <f>'декабрь 2014г. по 6-10'!F68+'декабрь 2014г. по 0,4'!F65</f>
        <v>14</v>
      </c>
      <c r="G69" s="31">
        <f>'декабрь 2014г. по 6-10'!G68+'декабрь 2014г. по 0,4'!G65</f>
        <v>399.5</v>
      </c>
      <c r="H69" s="24">
        <v>0</v>
      </c>
      <c r="I69" s="24">
        <v>0</v>
      </c>
      <c r="J69" s="31">
        <f>'декабрь 2014г. по 6-10'!J68+'декабрь 2014г. по 0,4'!J65</f>
        <v>4</v>
      </c>
      <c r="K69" s="31">
        <f>'декабрь 2014г. по 6-10'!K68+'декабрь 2014г. по 0,4'!K65</f>
        <v>10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</row>
    <row r="70" spans="1:17" ht="12.75" customHeight="1" x14ac:dyDescent="0.2">
      <c r="A70" s="18"/>
      <c r="B70" s="18"/>
      <c r="C70" s="20" t="s">
        <v>30</v>
      </c>
      <c r="D70" s="29">
        <f>D65+D66+D67+D68+D69</f>
        <v>1379</v>
      </c>
      <c r="E70" s="29">
        <f t="shared" ref="E70:Q70" si="4">E65+E66+E67+E68+E69</f>
        <v>38730.74</v>
      </c>
      <c r="F70" s="29">
        <f t="shared" si="4"/>
        <v>912</v>
      </c>
      <c r="G70" s="29">
        <f t="shared" si="4"/>
        <v>21522.6</v>
      </c>
      <c r="H70" s="29">
        <f t="shared" si="4"/>
        <v>0</v>
      </c>
      <c r="I70" s="29">
        <f t="shared" si="4"/>
        <v>0</v>
      </c>
      <c r="J70" s="29">
        <f t="shared" si="4"/>
        <v>991</v>
      </c>
      <c r="K70" s="29">
        <f t="shared" si="4"/>
        <v>12559.1</v>
      </c>
      <c r="L70" s="8">
        <f t="shared" si="4"/>
        <v>0</v>
      </c>
      <c r="M70" s="8">
        <f t="shared" si="4"/>
        <v>0</v>
      </c>
      <c r="N70" s="8">
        <f t="shared" si="4"/>
        <v>0</v>
      </c>
      <c r="O70" s="8">
        <f t="shared" si="4"/>
        <v>0</v>
      </c>
      <c r="P70" s="8">
        <f t="shared" si="4"/>
        <v>0</v>
      </c>
      <c r="Q70" s="8">
        <f t="shared" si="4"/>
        <v>0</v>
      </c>
    </row>
    <row r="71" spans="1:17" ht="21" customHeight="1" x14ac:dyDescent="0.25">
      <c r="A71" s="18"/>
      <c r="B71" s="18"/>
      <c r="C71" s="126" t="s">
        <v>66</v>
      </c>
      <c r="D71" s="126"/>
      <c r="E71" s="29"/>
      <c r="F71" s="29"/>
      <c r="G71" s="29"/>
      <c r="H71" s="24"/>
      <c r="I71" s="24"/>
      <c r="J71" s="29"/>
      <c r="K71" s="29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18"/>
      <c r="C72" s="19" t="s">
        <v>67</v>
      </c>
      <c r="D72" s="31">
        <f>'декабрь 2014г. по 6-10'!D71+'декабрь 2014г. по 0,4'!D68</f>
        <v>1</v>
      </c>
      <c r="E72" s="31">
        <f>'декабрь 2014г. по 6-10'!E71+'декабрь 2014г. по 0,4'!E68</f>
        <v>10</v>
      </c>
      <c r="F72" s="31">
        <f>'декабрь 2014г. по 6-10'!F71+'декабрь 2014г. по 0,4'!F68</f>
        <v>1</v>
      </c>
      <c r="G72" s="31">
        <f>'декабрь 2014г. по 6-10'!G71+'декабрь 2014г. по 0,4'!G68</f>
        <v>10</v>
      </c>
      <c r="H72" s="24">
        <v>0</v>
      </c>
      <c r="I72" s="24">
        <v>0</v>
      </c>
      <c r="J72" s="31">
        <f>'декабрь 2014г. по 6-10'!J71+'декабрь 2014г. по 0,4'!J68</f>
        <v>1</v>
      </c>
      <c r="K72" s="31">
        <f>'декабрь 2014г. по 6-10'!K71+'декабрь 2014г. по 0,4'!K68</f>
        <v>10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</row>
    <row r="73" spans="1:17" ht="12.75" customHeight="1" x14ac:dyDescent="0.25">
      <c r="A73" s="18"/>
      <c r="B73" s="18"/>
      <c r="C73" s="19" t="s">
        <v>68</v>
      </c>
      <c r="D73" s="31">
        <f>'декабрь 2014г. по 6-10'!D72+'декабрь 2014г. по 0,4'!D69</f>
        <v>26</v>
      </c>
      <c r="E73" s="31">
        <f>'декабрь 2014г. по 6-10'!E72+'декабрь 2014г. по 0,4'!E69</f>
        <v>230</v>
      </c>
      <c r="F73" s="31">
        <f>'декабрь 2014г. по 6-10'!F72+'декабрь 2014г. по 0,4'!F69</f>
        <v>21</v>
      </c>
      <c r="G73" s="31">
        <f>'декабрь 2014г. по 6-10'!G72+'декабрь 2014г. по 0,4'!G69</f>
        <v>160</v>
      </c>
      <c r="H73" s="24">
        <v>0</v>
      </c>
      <c r="I73" s="24">
        <v>0</v>
      </c>
      <c r="J73" s="31">
        <f>'декабрь 2014г. по 6-10'!J72+'декабрь 2014г. по 0,4'!J69</f>
        <v>16</v>
      </c>
      <c r="K73" s="31">
        <f>'декабрь 2014г. по 6-10'!K72+'декабрь 2014г. по 0,4'!K69</f>
        <v>130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</row>
    <row r="74" spans="1:17" ht="12.75" customHeight="1" x14ac:dyDescent="0.25">
      <c r="A74" s="18"/>
      <c r="B74" s="18"/>
      <c r="C74" s="19" t="s">
        <v>69</v>
      </c>
      <c r="D74" s="31">
        <f>'декабрь 2014г. по 6-10'!D73+'декабрь 2014г. по 0,4'!D70</f>
        <v>3</v>
      </c>
      <c r="E74" s="31">
        <f>'декабрь 2014г. по 6-10'!E73+'декабрь 2014г. по 0,4'!E70</f>
        <v>15</v>
      </c>
      <c r="F74" s="31">
        <f>'декабрь 2014г. по 6-10'!F73+'декабрь 2014г. по 0,4'!F70</f>
        <v>3</v>
      </c>
      <c r="G74" s="31">
        <f>'декабрь 2014г. по 6-10'!G73+'декабрь 2014г. по 0,4'!G70</f>
        <v>15</v>
      </c>
      <c r="H74" s="24">
        <v>1</v>
      </c>
      <c r="I74" s="24">
        <v>5.6</v>
      </c>
      <c r="J74" s="31">
        <f>'декабрь 2014г. по 6-10'!J73+'декабрь 2014г. по 0,4'!J70</f>
        <v>3</v>
      </c>
      <c r="K74" s="31">
        <f>'декабрь 2014г. по 6-10'!K73+'декабрь 2014г. по 0,4'!K70</f>
        <v>15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</row>
    <row r="75" spans="1:17" ht="12.75" customHeight="1" x14ac:dyDescent="0.25">
      <c r="A75" s="18"/>
      <c r="B75" s="18"/>
      <c r="C75" s="19" t="s">
        <v>70</v>
      </c>
      <c r="D75" s="31">
        <f>'декабрь 2014г. по 6-10'!D74+'декабрь 2014г. по 0,4'!D71</f>
        <v>26</v>
      </c>
      <c r="E75" s="31">
        <f>'декабрь 2014г. по 6-10'!E74+'декабрь 2014г. по 0,4'!E71</f>
        <v>502</v>
      </c>
      <c r="F75" s="31">
        <f>'декабрь 2014г. по 6-10'!F74+'декабрь 2014г. по 0,4'!F71</f>
        <v>23</v>
      </c>
      <c r="G75" s="31">
        <f>'декабрь 2014г. по 6-10'!G74+'декабрь 2014г. по 0,4'!G71</f>
        <v>262</v>
      </c>
      <c r="H75" s="24">
        <v>1</v>
      </c>
      <c r="I75" s="24">
        <v>6</v>
      </c>
      <c r="J75" s="31">
        <f>'декабрь 2014г. по 6-10'!J74+'декабрь 2014г. по 0,4'!J71</f>
        <v>25</v>
      </c>
      <c r="K75" s="31">
        <f>'декабрь 2014г. по 6-10'!K74+'декабрь 2014г. по 0,4'!K71</f>
        <v>542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</row>
    <row r="76" spans="1:17" ht="12.75" customHeight="1" x14ac:dyDescent="0.25">
      <c r="A76" s="18"/>
      <c r="B76" s="18"/>
      <c r="C76" s="19" t="s">
        <v>71</v>
      </c>
      <c r="D76" s="31">
        <f>'декабрь 2014г. по 6-10'!D75+'декабрь 2014г. по 0,4'!D72</f>
        <v>1</v>
      </c>
      <c r="E76" s="31">
        <f>'декабрь 2014г. по 6-10'!E75+'декабрь 2014г. по 0,4'!E72</f>
        <v>6</v>
      </c>
      <c r="F76" s="31">
        <f>'декабрь 2014г. по 6-10'!F75+'декабрь 2014г. по 0,4'!F72</f>
        <v>1</v>
      </c>
      <c r="G76" s="31">
        <f>'декабрь 2014г. по 6-10'!G75+'декабрь 2014г. по 0,4'!G72</f>
        <v>6</v>
      </c>
      <c r="H76" s="24">
        <v>0</v>
      </c>
      <c r="I76" s="24">
        <v>0</v>
      </c>
      <c r="J76" s="31">
        <f>'декабрь 2014г. по 6-10'!J75+'декабрь 2014г. по 0,4'!J72</f>
        <v>1</v>
      </c>
      <c r="K76" s="31">
        <f>'декабрь 2014г. по 6-10'!K75+'декабрь 2014г. по 0,4'!K72</f>
        <v>6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</row>
    <row r="77" spans="1:17" ht="12.75" customHeight="1" x14ac:dyDescent="0.25">
      <c r="A77" s="18"/>
      <c r="B77" s="18"/>
      <c r="C77" s="19" t="s">
        <v>72</v>
      </c>
      <c r="D77" s="31">
        <f>'декабрь 2014г. по 6-10'!D76+'декабрь 2014г. по 0,4'!D73</f>
        <v>12</v>
      </c>
      <c r="E77" s="31">
        <f>'декабрь 2014г. по 6-10'!E76+'декабрь 2014г. по 0,4'!E73</f>
        <v>92</v>
      </c>
      <c r="F77" s="31">
        <f>'декабрь 2014г. по 6-10'!F76+'декабрь 2014г. по 0,4'!F73</f>
        <v>0</v>
      </c>
      <c r="G77" s="31">
        <f>'декабрь 2014г. по 6-10'!G76+'декабрь 2014г. по 0,4'!G73</f>
        <v>0</v>
      </c>
      <c r="H77" s="24">
        <v>0</v>
      </c>
      <c r="I77" s="24">
        <v>0</v>
      </c>
      <c r="J77" s="31">
        <f>'декабрь 2014г. по 6-10'!J76+'декабрь 2014г. по 0,4'!J73</f>
        <v>29</v>
      </c>
      <c r="K77" s="31">
        <f>'декабрь 2014г. по 6-10'!K76+'декабрь 2014г. по 0,4'!K73</f>
        <v>198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</row>
    <row r="78" spans="1:17" ht="12.75" customHeight="1" x14ac:dyDescent="0.2">
      <c r="A78" s="18"/>
      <c r="B78" s="18"/>
      <c r="C78" s="20" t="s">
        <v>30</v>
      </c>
      <c r="D78" s="29">
        <f>D72+D73+D74+D75+D76+D77</f>
        <v>69</v>
      </c>
      <c r="E78" s="29">
        <f t="shared" ref="E78:Q78" si="5">E72+E73+E74+E75+E76+E77</f>
        <v>855</v>
      </c>
      <c r="F78" s="29">
        <f t="shared" si="5"/>
        <v>49</v>
      </c>
      <c r="G78" s="29">
        <f t="shared" si="5"/>
        <v>453</v>
      </c>
      <c r="H78" s="29">
        <f t="shared" si="5"/>
        <v>2</v>
      </c>
      <c r="I78" s="29">
        <f t="shared" si="5"/>
        <v>11.6</v>
      </c>
      <c r="J78" s="29">
        <f t="shared" si="5"/>
        <v>75</v>
      </c>
      <c r="K78" s="29">
        <f t="shared" si="5"/>
        <v>901</v>
      </c>
      <c r="L78" s="8">
        <f t="shared" si="5"/>
        <v>0</v>
      </c>
      <c r="M78" s="8">
        <f t="shared" si="5"/>
        <v>0</v>
      </c>
      <c r="N78" s="8">
        <f t="shared" si="5"/>
        <v>0</v>
      </c>
      <c r="O78" s="8">
        <f t="shared" si="5"/>
        <v>0</v>
      </c>
      <c r="P78" s="8">
        <f t="shared" si="5"/>
        <v>0</v>
      </c>
      <c r="Q78" s="8">
        <f t="shared" si="5"/>
        <v>0</v>
      </c>
    </row>
    <row r="79" spans="1:17" ht="21.75" customHeight="1" x14ac:dyDescent="0.25">
      <c r="A79" s="18"/>
      <c r="B79" s="18"/>
      <c r="C79" s="126" t="s">
        <v>73</v>
      </c>
      <c r="D79" s="126"/>
      <c r="E79" s="29"/>
      <c r="F79" s="29"/>
      <c r="G79" s="29"/>
      <c r="H79" s="29"/>
      <c r="I79" s="29"/>
      <c r="J79" s="29"/>
      <c r="K79" s="29"/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18"/>
      <c r="C80" s="19" t="s">
        <v>74</v>
      </c>
      <c r="D80" s="31">
        <f>'декабрь 2014г. по 6-10'!D79+'декабрь 2014г. по 0,4'!D76</f>
        <v>5</v>
      </c>
      <c r="E80" s="31">
        <f>'декабрь 2014г. по 6-10'!E79+'декабрь 2014г. по 0,4'!E76</f>
        <v>121</v>
      </c>
      <c r="F80" s="31">
        <f>'декабрь 2014г. по 6-10'!F79+'декабрь 2014г. по 0,4'!F76</f>
        <v>1</v>
      </c>
      <c r="G80" s="31">
        <f>'декабрь 2014г. по 6-10'!G79+'декабрь 2014г. по 0,4'!G76</f>
        <v>90</v>
      </c>
      <c r="H80" s="24">
        <v>0</v>
      </c>
      <c r="I80" s="24">
        <v>0</v>
      </c>
      <c r="J80" s="31">
        <f>'декабрь 2014г. по 6-10'!J79+'декабрь 2014г. по 0,4'!J76</f>
        <v>5</v>
      </c>
      <c r="K80" s="31">
        <f>'декабрь 2014г. по 6-10'!K79+'декабрь 2014г. по 0,4'!K76</f>
        <v>121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</row>
    <row r="81" spans="1:17" ht="12.75" customHeight="1" x14ac:dyDescent="0.25">
      <c r="A81" s="18"/>
      <c r="B81" s="18"/>
      <c r="C81" s="19" t="s">
        <v>75</v>
      </c>
      <c r="D81" s="31">
        <f>'декабрь 2014г. по 6-10'!D80+'декабрь 2014г. по 0,4'!D77</f>
        <v>1</v>
      </c>
      <c r="E81" s="31">
        <f>'декабрь 2014г. по 6-10'!E80+'декабрь 2014г. по 0,4'!E77</f>
        <v>7</v>
      </c>
      <c r="F81" s="31">
        <f>'декабрь 2014г. по 6-10'!F80+'декабрь 2014г. по 0,4'!F77</f>
        <v>1</v>
      </c>
      <c r="G81" s="31">
        <f>'декабрь 2014г. по 6-10'!G80+'декабрь 2014г. по 0,4'!G77</f>
        <v>7</v>
      </c>
      <c r="H81" s="24">
        <v>1</v>
      </c>
      <c r="I81" s="24">
        <v>5</v>
      </c>
      <c r="J81" s="31">
        <f>'декабрь 2014г. по 6-10'!J80+'декабрь 2014г. по 0,4'!J77</f>
        <v>1</v>
      </c>
      <c r="K81" s="31">
        <f>'декабрь 2014г. по 6-10'!K80+'декабрь 2014г. по 0,4'!K77</f>
        <v>7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</row>
    <row r="82" spans="1:17" ht="12.75" customHeight="1" x14ac:dyDescent="0.25">
      <c r="A82" s="18"/>
      <c r="B82" s="18"/>
      <c r="C82" s="19" t="s">
        <v>76</v>
      </c>
      <c r="D82" s="31">
        <f>'декабрь 2014г. по 6-10'!D81+'декабрь 2014г. по 0,4'!D78</f>
        <v>11</v>
      </c>
      <c r="E82" s="31">
        <f>'декабрь 2014г. по 6-10'!E81+'декабрь 2014г. по 0,4'!E78</f>
        <v>716</v>
      </c>
      <c r="F82" s="31">
        <f>'декабрь 2014г. по 6-10'!F81+'декабрь 2014г. по 0,4'!F78</f>
        <v>9</v>
      </c>
      <c r="G82" s="31">
        <f>'декабрь 2014г. по 6-10'!G81+'декабрь 2014г. по 0,4'!G78</f>
        <v>272</v>
      </c>
      <c r="H82" s="24">
        <v>0</v>
      </c>
      <c r="I82" s="24">
        <v>0</v>
      </c>
      <c r="J82" s="31">
        <f>'декабрь 2014г. по 6-10'!J81+'декабрь 2014г. по 0,4'!J78</f>
        <v>8</v>
      </c>
      <c r="K82" s="31">
        <f>'декабрь 2014г. по 6-10'!K81+'декабрь 2014г. по 0,4'!K78</f>
        <v>208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</row>
    <row r="83" spans="1:17" ht="12.75" customHeight="1" x14ac:dyDescent="0.25">
      <c r="A83" s="18"/>
      <c r="B83" s="18"/>
      <c r="C83" s="19" t="s">
        <v>77</v>
      </c>
      <c r="D83" s="31">
        <f>'декабрь 2014г. по 6-10'!D82+'декабрь 2014г. по 0,4'!D79</f>
        <v>2</v>
      </c>
      <c r="E83" s="31">
        <f>'декабрь 2014г. по 6-10'!E82+'декабрь 2014г. по 0,4'!E79</f>
        <v>30</v>
      </c>
      <c r="F83" s="31">
        <f>'декабрь 2014г. по 6-10'!F82+'декабрь 2014г. по 0,4'!F79</f>
        <v>2</v>
      </c>
      <c r="G83" s="31">
        <f>'декабрь 2014г. по 6-10'!G82+'декабрь 2014г. по 0,4'!G79</f>
        <v>30</v>
      </c>
      <c r="H83" s="24">
        <v>0</v>
      </c>
      <c r="I83" s="24">
        <v>0</v>
      </c>
      <c r="J83" s="31">
        <f>'декабрь 2014г. по 6-10'!J82+'декабрь 2014г. по 0,4'!J79</f>
        <v>2</v>
      </c>
      <c r="K83" s="31">
        <f>'декабрь 2014г. по 6-10'!K82+'декабрь 2014г. по 0,4'!K79</f>
        <v>30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</row>
    <row r="84" spans="1:17" ht="12.75" customHeight="1" x14ac:dyDescent="0.25">
      <c r="A84" s="18"/>
      <c r="B84" s="18"/>
      <c r="C84" s="19" t="s">
        <v>78</v>
      </c>
      <c r="D84" s="31">
        <f>'декабрь 2014г. по 6-10'!D83+'декабрь 2014г. по 0,4'!D80</f>
        <v>9</v>
      </c>
      <c r="E84" s="31">
        <f>'декабрь 2014г. по 6-10'!E83+'декабрь 2014г. по 0,4'!E80</f>
        <v>165</v>
      </c>
      <c r="F84" s="31">
        <f>'декабрь 2014г. по 6-10'!F83+'декабрь 2014г. по 0,4'!F80</f>
        <v>5</v>
      </c>
      <c r="G84" s="31">
        <f>'декабрь 2014г. по 6-10'!G83+'декабрь 2014г. по 0,4'!G80</f>
        <v>125</v>
      </c>
      <c r="H84" s="24">
        <v>0</v>
      </c>
      <c r="I84" s="24">
        <v>0</v>
      </c>
      <c r="J84" s="31">
        <f>'декабрь 2014г. по 6-10'!J83+'декабрь 2014г. по 0,4'!J80</f>
        <v>9</v>
      </c>
      <c r="K84" s="31">
        <f>'декабрь 2014г. по 6-10'!K83+'декабрь 2014г. по 0,4'!K80</f>
        <v>165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</row>
    <row r="85" spans="1:17" ht="12.75" customHeight="1" x14ac:dyDescent="0.25">
      <c r="A85" s="18"/>
      <c r="B85" s="18"/>
      <c r="C85" s="19" t="s">
        <v>79</v>
      </c>
      <c r="D85" s="31">
        <f>'декабрь 2014г. по 6-10'!D84+'декабрь 2014г. по 0,4'!D81</f>
        <v>7</v>
      </c>
      <c r="E85" s="31">
        <f>'декабрь 2014г. по 6-10'!E84+'декабрь 2014г. по 0,4'!E81</f>
        <v>55</v>
      </c>
      <c r="F85" s="31">
        <f>'декабрь 2014г. по 6-10'!F84+'декабрь 2014г. по 0,4'!F81</f>
        <v>7</v>
      </c>
      <c r="G85" s="31">
        <f>'декабрь 2014г. по 6-10'!G84+'декабрь 2014г. по 0,4'!G81</f>
        <v>55</v>
      </c>
      <c r="H85" s="24">
        <v>0</v>
      </c>
      <c r="I85" s="24">
        <v>0</v>
      </c>
      <c r="J85" s="31">
        <f>'декабрь 2014г. по 6-10'!J84+'декабрь 2014г. по 0,4'!J81</f>
        <v>7</v>
      </c>
      <c r="K85" s="31">
        <f>'декабрь 2014г. по 6-10'!K84+'декабрь 2014г. по 0,4'!K81</f>
        <v>55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</row>
    <row r="86" spans="1:17" ht="12.75" customHeight="1" x14ac:dyDescent="0.25">
      <c r="A86" s="18"/>
      <c r="B86" s="18"/>
      <c r="C86" s="19" t="s">
        <v>80</v>
      </c>
      <c r="D86" s="31">
        <f>'декабрь 2014г. по 6-10'!D85+'декабрь 2014г. по 0,4'!D82</f>
        <v>1</v>
      </c>
      <c r="E86" s="31">
        <f>'декабрь 2014г. по 6-10'!E85+'декабрь 2014г. по 0,4'!E82</f>
        <v>4</v>
      </c>
      <c r="F86" s="31">
        <f>'декабрь 2014г. по 6-10'!F85+'декабрь 2014г. по 0,4'!F82</f>
        <v>1</v>
      </c>
      <c r="G86" s="31">
        <f>'декабрь 2014г. по 6-10'!G85+'декабрь 2014г. по 0,4'!G82</f>
        <v>4</v>
      </c>
      <c r="H86" s="24">
        <v>0</v>
      </c>
      <c r="I86" s="24">
        <v>0</v>
      </c>
      <c r="J86" s="31">
        <f>'декабрь 2014г. по 6-10'!J85+'декабрь 2014г. по 0,4'!J82</f>
        <v>1</v>
      </c>
      <c r="K86" s="31">
        <f>'декабрь 2014г. по 6-10'!K85+'декабрь 2014г. по 0,4'!K82</f>
        <v>4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</row>
    <row r="87" spans="1:17" ht="12.75" customHeight="1" x14ac:dyDescent="0.25">
      <c r="A87" s="18"/>
      <c r="B87" s="18"/>
      <c r="C87" s="19" t="s">
        <v>81</v>
      </c>
      <c r="D87" s="31">
        <f>'декабрь 2014г. по 6-10'!D86+'декабрь 2014г. по 0,4'!D83</f>
        <v>11</v>
      </c>
      <c r="E87" s="31">
        <f>'декабрь 2014г. по 6-10'!E86+'декабрь 2014г. по 0,4'!E83</f>
        <v>272</v>
      </c>
      <c r="F87" s="31">
        <f>'декабрь 2014г. по 6-10'!F86+'декабрь 2014г. по 0,4'!F83</f>
        <v>8</v>
      </c>
      <c r="G87" s="31">
        <f>'декабрь 2014г. по 6-10'!G86+'декабрь 2014г. по 0,4'!G83</f>
        <v>44</v>
      </c>
      <c r="H87" s="24">
        <v>0</v>
      </c>
      <c r="I87" s="24">
        <v>0</v>
      </c>
      <c r="J87" s="31">
        <f>'декабрь 2014г. по 6-10'!J86+'декабрь 2014г. по 0,4'!J83</f>
        <v>11</v>
      </c>
      <c r="K87" s="31">
        <f>'декабрь 2014г. по 6-10'!K86+'декабрь 2014г. по 0,4'!K83</f>
        <v>272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</row>
    <row r="88" spans="1:17" ht="12.75" customHeight="1" x14ac:dyDescent="0.25">
      <c r="A88" s="18"/>
      <c r="B88" s="18"/>
      <c r="C88" s="19" t="s">
        <v>82</v>
      </c>
      <c r="D88" s="31">
        <f>'декабрь 2014г. по 6-10'!D87+'декабрь 2014г. по 0,4'!D84</f>
        <v>4</v>
      </c>
      <c r="E88" s="31">
        <f>'декабрь 2014г. по 6-10'!E87+'декабрь 2014г. по 0,4'!E84</f>
        <v>345</v>
      </c>
      <c r="F88" s="31">
        <f>'декабрь 2014г. по 6-10'!F87+'декабрь 2014г. по 0,4'!F84</f>
        <v>1</v>
      </c>
      <c r="G88" s="31">
        <f>'декабрь 2014г. по 6-10'!G87+'декабрь 2014г. по 0,4'!G84</f>
        <v>5</v>
      </c>
      <c r="H88" s="24">
        <v>0</v>
      </c>
      <c r="I88" s="24">
        <v>0</v>
      </c>
      <c r="J88" s="31">
        <f>'декабрь 2014г. по 6-10'!J87+'декабрь 2014г. по 0,4'!J84</f>
        <v>4</v>
      </c>
      <c r="K88" s="31">
        <f>'декабрь 2014г. по 6-10'!K87+'декабрь 2014г. по 0,4'!K84</f>
        <v>345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</row>
    <row r="89" spans="1:17" ht="12.75" customHeight="1" x14ac:dyDescent="0.25">
      <c r="A89" s="18"/>
      <c r="B89" s="18"/>
      <c r="C89" s="19" t="s">
        <v>83</v>
      </c>
      <c r="D89" s="31">
        <f>'декабрь 2014г. по 6-10'!D88+'декабрь 2014г. по 0,4'!D85</f>
        <v>4</v>
      </c>
      <c r="E89" s="31">
        <f>'декабрь 2014г. по 6-10'!E88+'декабрь 2014г. по 0,4'!E85</f>
        <v>95</v>
      </c>
      <c r="F89" s="31">
        <f>'декабрь 2014г. по 6-10'!F88+'декабрь 2014г. по 0,4'!F85</f>
        <v>1</v>
      </c>
      <c r="G89" s="31">
        <f>'декабрь 2014г. по 6-10'!G88+'декабрь 2014г. по 0,4'!G85</f>
        <v>15</v>
      </c>
      <c r="H89" s="24">
        <v>0</v>
      </c>
      <c r="I89" s="24">
        <v>0</v>
      </c>
      <c r="J89" s="31">
        <f>'декабрь 2014г. по 6-10'!J88+'декабрь 2014г. по 0,4'!J85</f>
        <v>4</v>
      </c>
      <c r="K89" s="31">
        <f>'декабрь 2014г. по 6-10'!K88+'декабрь 2014г. по 0,4'!K85</f>
        <v>95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</row>
    <row r="90" spans="1:17" ht="12.75" customHeight="1" x14ac:dyDescent="0.25">
      <c r="A90" s="18"/>
      <c r="B90" s="18"/>
      <c r="C90" s="19" t="s">
        <v>84</v>
      </c>
      <c r="D90" s="31">
        <f>'декабрь 2014г. по 6-10'!D89+'декабрь 2014г. по 0,4'!D86</f>
        <v>3</v>
      </c>
      <c r="E90" s="31">
        <f>'декабрь 2014г. по 6-10'!E89+'декабрь 2014г. по 0,4'!E86</f>
        <v>20</v>
      </c>
      <c r="F90" s="31">
        <f>'декабрь 2014г. по 6-10'!F89+'декабрь 2014г. по 0,4'!F86</f>
        <v>0</v>
      </c>
      <c r="G90" s="31">
        <f>'декабрь 2014г. по 6-10'!G89+'декабрь 2014г. по 0,4'!G86</f>
        <v>0</v>
      </c>
      <c r="H90" s="24">
        <v>0</v>
      </c>
      <c r="I90" s="24">
        <v>0</v>
      </c>
      <c r="J90" s="31">
        <f>'декабрь 2014г. по 6-10'!J89+'декабрь 2014г. по 0,4'!J86</f>
        <v>3</v>
      </c>
      <c r="K90" s="31">
        <f>'декабрь 2014г. по 6-10'!K89+'декабрь 2014г. по 0,4'!K86</f>
        <v>20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</row>
    <row r="91" spans="1:17" ht="12.75" customHeight="1" x14ac:dyDescent="0.2">
      <c r="A91" s="18"/>
      <c r="B91" s="18"/>
      <c r="C91" s="20" t="s">
        <v>30</v>
      </c>
      <c r="D91" s="29">
        <f>D80+D81+D82+D83+D84+D85+D86+D87+D88+D89+D90</f>
        <v>58</v>
      </c>
      <c r="E91" s="29">
        <f t="shared" ref="E91:Q91" si="6">E80+E81+E82+E83+E84+E85+E86+E87+E88+E89+E90</f>
        <v>1830</v>
      </c>
      <c r="F91" s="29">
        <f t="shared" si="6"/>
        <v>36</v>
      </c>
      <c r="G91" s="29">
        <f t="shared" si="6"/>
        <v>647</v>
      </c>
      <c r="H91" s="29">
        <f t="shared" si="6"/>
        <v>1</v>
      </c>
      <c r="I91" s="29">
        <f t="shared" si="6"/>
        <v>5</v>
      </c>
      <c r="J91" s="29">
        <f t="shared" si="6"/>
        <v>55</v>
      </c>
      <c r="K91" s="29">
        <f t="shared" si="6"/>
        <v>1322</v>
      </c>
      <c r="L91" s="8">
        <f t="shared" si="6"/>
        <v>0</v>
      </c>
      <c r="M91" s="8">
        <f t="shared" si="6"/>
        <v>0</v>
      </c>
      <c r="N91" s="8">
        <f t="shared" si="6"/>
        <v>0</v>
      </c>
      <c r="O91" s="8">
        <f t="shared" si="6"/>
        <v>0</v>
      </c>
      <c r="P91" s="8">
        <f t="shared" si="6"/>
        <v>0</v>
      </c>
      <c r="Q91" s="8">
        <f t="shared" si="6"/>
        <v>0</v>
      </c>
    </row>
    <row r="92" spans="1:17" ht="21" customHeight="1" x14ac:dyDescent="0.25">
      <c r="A92" s="18"/>
      <c r="B92" s="18"/>
      <c r="C92" s="126" t="s">
        <v>85</v>
      </c>
      <c r="D92" s="126"/>
      <c r="E92" s="29"/>
      <c r="F92" s="29"/>
      <c r="G92" s="29"/>
      <c r="H92" s="29"/>
      <c r="I92" s="29"/>
      <c r="J92" s="29"/>
      <c r="K92" s="29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18"/>
      <c r="C93" s="19" t="s">
        <v>86</v>
      </c>
      <c r="D93" s="31">
        <f>'декабрь 2014г. по 6-10'!D92+'декабрь 2014г. по 0,4'!D89</f>
        <v>1</v>
      </c>
      <c r="E93" s="31">
        <f>'декабрь 2014г. по 6-10'!E92+'декабрь 2014г. по 0,4'!E89</f>
        <v>15</v>
      </c>
      <c r="F93" s="31">
        <f>'декабрь 2014г. по 6-10'!F92+'декабрь 2014г. по 0,4'!F89</f>
        <v>1</v>
      </c>
      <c r="G93" s="31">
        <f>'декабрь 2014г. по 6-10'!G92+'декабрь 2014г. по 0,4'!G89</f>
        <v>15</v>
      </c>
      <c r="H93" s="24">
        <v>1</v>
      </c>
      <c r="I93" s="24">
        <v>15</v>
      </c>
      <c r="J93" s="31">
        <f>'декабрь 2014г. по 6-10'!J92+'декабрь 2014г. по 0,4'!J89</f>
        <v>1</v>
      </c>
      <c r="K93" s="31">
        <f>'декабрь 2014г. по 6-10'!K92+'декабрь 2014г. по 0,4'!K89</f>
        <v>15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</row>
    <row r="94" spans="1:17" ht="12.75" customHeight="1" x14ac:dyDescent="0.25">
      <c r="A94" s="18"/>
      <c r="B94" s="18"/>
      <c r="C94" s="19" t="s">
        <v>87</v>
      </c>
      <c r="D94" s="31">
        <f>'декабрь 2014г. по 6-10'!D93+'декабрь 2014г. по 0,4'!D90</f>
        <v>22</v>
      </c>
      <c r="E94" s="31">
        <f>'декабрь 2014г. по 6-10'!E93+'декабрь 2014г. по 0,4'!E90</f>
        <v>530</v>
      </c>
      <c r="F94" s="31">
        <f>'декабрь 2014г. по 6-10'!F93+'декабрь 2014г. по 0,4'!F90</f>
        <v>17</v>
      </c>
      <c r="G94" s="31">
        <f>'декабрь 2014г. по 6-10'!G93+'декабрь 2014г. по 0,4'!G90</f>
        <v>289</v>
      </c>
      <c r="H94" s="24">
        <v>0</v>
      </c>
      <c r="I94" s="24">
        <v>0</v>
      </c>
      <c r="J94" s="31">
        <f>'декабрь 2014г. по 6-10'!J93+'декабрь 2014г. по 0,4'!J90</f>
        <v>18</v>
      </c>
      <c r="K94" s="31">
        <f>'декабрь 2014г. по 6-10'!K93+'декабрь 2014г. по 0,4'!K90</f>
        <v>230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</row>
    <row r="95" spans="1:17" ht="12.75" customHeight="1" x14ac:dyDescent="0.25">
      <c r="A95" s="18"/>
      <c r="B95" s="18"/>
      <c r="C95" s="19" t="s">
        <v>88</v>
      </c>
      <c r="D95" s="31">
        <f>'декабрь 2014г. по 6-10'!D94+'декабрь 2014г. по 0,4'!D91</f>
        <v>0</v>
      </c>
      <c r="E95" s="31">
        <f>'декабрь 2014г. по 6-10'!E94+'декабрь 2014г. по 0,4'!E91</f>
        <v>0</v>
      </c>
      <c r="F95" s="31">
        <f>'декабрь 2014г. по 6-10'!F94+'декабрь 2014г. по 0,4'!F91</f>
        <v>0</v>
      </c>
      <c r="G95" s="31">
        <f>'декабрь 2014г. по 6-10'!G94+'декабрь 2014г. по 0,4'!G91</f>
        <v>0</v>
      </c>
      <c r="H95" s="24">
        <v>0</v>
      </c>
      <c r="I95" s="24">
        <v>0</v>
      </c>
      <c r="J95" s="31">
        <f>'декабрь 2014г. по 6-10'!J94+'декабрь 2014г. по 0,4'!J91</f>
        <v>0</v>
      </c>
      <c r="K95" s="31">
        <f>'декабрь 2014г. по 6-10'!K94+'декабрь 2014г. по 0,4'!K91</f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</row>
    <row r="96" spans="1:17" ht="12.75" customHeight="1" x14ac:dyDescent="0.25">
      <c r="A96" s="18"/>
      <c r="B96" s="18"/>
      <c r="C96" s="19" t="s">
        <v>72</v>
      </c>
      <c r="D96" s="31">
        <f>'декабрь 2014г. по 6-10'!D95+'декабрь 2014г. по 0,4'!D92</f>
        <v>0</v>
      </c>
      <c r="E96" s="31">
        <f>'декабрь 2014г. по 6-10'!E95+'декабрь 2014г. по 0,4'!E92</f>
        <v>0</v>
      </c>
      <c r="F96" s="31">
        <f>'декабрь 2014г. по 6-10'!F95+'декабрь 2014г. по 0,4'!F92</f>
        <v>0</v>
      </c>
      <c r="G96" s="31">
        <f>'декабрь 2014г. по 6-10'!G95+'декабрь 2014г. по 0,4'!G92</f>
        <v>0</v>
      </c>
      <c r="H96" s="24">
        <v>0</v>
      </c>
      <c r="I96" s="24">
        <v>0</v>
      </c>
      <c r="J96" s="31">
        <f>'декабрь 2014г. по 6-10'!J95+'декабрь 2014г. по 0,4'!J92</f>
        <v>0</v>
      </c>
      <c r="K96" s="31">
        <f>'декабрь 2014г. по 6-10'!K95+'декабрь 2014г. по 0,4'!K92</f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</row>
    <row r="97" spans="1:17" ht="12.75" customHeight="1" x14ac:dyDescent="0.25">
      <c r="A97" s="18"/>
      <c r="B97" s="18"/>
      <c r="C97" s="19" t="s">
        <v>89</v>
      </c>
      <c r="D97" s="31">
        <f>'декабрь 2014г. по 6-10'!D96+'декабрь 2014г. по 0,4'!D93</f>
        <v>1</v>
      </c>
      <c r="E97" s="31">
        <f>'декабрь 2014г. по 6-10'!E96+'декабрь 2014г. по 0,4'!E93</f>
        <v>6</v>
      </c>
      <c r="F97" s="31">
        <f>'декабрь 2014г. по 6-10'!F96+'декабрь 2014г. по 0,4'!F93</f>
        <v>1</v>
      </c>
      <c r="G97" s="31">
        <f>'декабрь 2014г. по 6-10'!G96+'декабрь 2014г. по 0,4'!G93</f>
        <v>6</v>
      </c>
      <c r="H97" s="24">
        <v>0</v>
      </c>
      <c r="I97" s="24">
        <v>0</v>
      </c>
      <c r="J97" s="31">
        <f>'декабрь 2014г. по 6-10'!J96+'декабрь 2014г. по 0,4'!J93</f>
        <v>5</v>
      </c>
      <c r="K97" s="31">
        <f>'декабрь 2014г. по 6-10'!K96+'декабрь 2014г. по 0,4'!K93</f>
        <v>25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</row>
    <row r="98" spans="1:17" ht="12.75" customHeight="1" x14ac:dyDescent="0.25">
      <c r="A98" s="18"/>
      <c r="B98" s="18"/>
      <c r="C98" s="19" t="s">
        <v>90</v>
      </c>
      <c r="D98" s="31">
        <f>'декабрь 2014г. по 6-10'!D97+'декабрь 2014г. по 0,4'!D94</f>
        <v>8</v>
      </c>
      <c r="E98" s="31">
        <f>'декабрь 2014г. по 6-10'!E97+'декабрь 2014г. по 0,4'!E94</f>
        <v>117</v>
      </c>
      <c r="F98" s="31">
        <f>'декабрь 2014г. по 6-10'!F97+'декабрь 2014г. по 0,4'!F94</f>
        <v>8</v>
      </c>
      <c r="G98" s="31">
        <f>'декабрь 2014г. по 6-10'!G97+'декабрь 2014г. по 0,4'!G94</f>
        <v>103</v>
      </c>
      <c r="H98" s="24">
        <v>0</v>
      </c>
      <c r="I98" s="24">
        <v>0</v>
      </c>
      <c r="J98" s="31">
        <f>'декабрь 2014г. по 6-10'!J97+'декабрь 2014г. по 0,4'!J94</f>
        <v>8</v>
      </c>
      <c r="K98" s="31">
        <f>'декабрь 2014г. по 6-10'!K97+'декабрь 2014г. по 0,4'!K94</f>
        <v>117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</row>
    <row r="99" spans="1:17" ht="12.75" customHeight="1" x14ac:dyDescent="0.25">
      <c r="A99" s="18"/>
      <c r="B99" s="18"/>
      <c r="C99" s="19" t="s">
        <v>91</v>
      </c>
      <c r="D99" s="31">
        <f>'декабрь 2014г. по 6-10'!D98+'декабрь 2014г. по 0,4'!D95</f>
        <v>4</v>
      </c>
      <c r="E99" s="31">
        <f>'декабрь 2014г. по 6-10'!E98+'декабрь 2014г. по 0,4'!E95</f>
        <v>97</v>
      </c>
      <c r="F99" s="31">
        <f>'декабрь 2014г. по 6-10'!F98+'декабрь 2014г. по 0,4'!F95</f>
        <v>4</v>
      </c>
      <c r="G99" s="31">
        <f>'декабрь 2014г. по 6-10'!G98+'декабрь 2014г. по 0,4'!G95</f>
        <v>97</v>
      </c>
      <c r="H99" s="24">
        <v>0</v>
      </c>
      <c r="I99" s="24">
        <v>0</v>
      </c>
      <c r="J99" s="31">
        <f>'декабрь 2014г. по 6-10'!J98+'декабрь 2014г. по 0,4'!J95</f>
        <v>4</v>
      </c>
      <c r="K99" s="31">
        <f>'декабрь 2014г. по 6-10'!K98+'декабрь 2014г. по 0,4'!K95</f>
        <v>97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</row>
    <row r="100" spans="1:17" ht="12.75" customHeight="1" x14ac:dyDescent="0.25">
      <c r="A100" s="18"/>
      <c r="B100" s="18"/>
      <c r="C100" s="19" t="s">
        <v>92</v>
      </c>
      <c r="D100" s="31">
        <f>'декабрь 2014г. по 6-10'!D99+'декабрь 2014г. по 0,4'!D96</f>
        <v>8</v>
      </c>
      <c r="E100" s="31">
        <f>'декабрь 2014г. по 6-10'!E99+'декабрь 2014г. по 0,4'!E96</f>
        <v>184</v>
      </c>
      <c r="F100" s="31">
        <f>'декабрь 2014г. по 6-10'!F99+'декабрь 2014г. по 0,4'!F96</f>
        <v>8</v>
      </c>
      <c r="G100" s="31">
        <f>'декабрь 2014г. по 6-10'!G99+'декабрь 2014г. по 0,4'!G96</f>
        <v>184</v>
      </c>
      <c r="H100" s="24">
        <v>0</v>
      </c>
      <c r="I100" s="24">
        <v>0</v>
      </c>
      <c r="J100" s="31">
        <f>'декабрь 2014г. по 6-10'!J99+'декабрь 2014г. по 0,4'!J96</f>
        <v>5</v>
      </c>
      <c r="K100" s="31">
        <f>'декабрь 2014г. по 6-10'!K99+'декабрь 2014г. по 0,4'!K96</f>
        <v>28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</row>
    <row r="101" spans="1:17" ht="12.75" customHeight="1" x14ac:dyDescent="0.25">
      <c r="A101" s="18"/>
      <c r="B101" s="18"/>
      <c r="C101" s="19" t="s">
        <v>93</v>
      </c>
      <c r="D101" s="31">
        <f>'декабрь 2014г. по 6-10'!D100+'декабрь 2014г. по 0,4'!D97</f>
        <v>3</v>
      </c>
      <c r="E101" s="31">
        <f>'декабрь 2014г. по 6-10'!E100+'декабрь 2014г. по 0,4'!E97</f>
        <v>11</v>
      </c>
      <c r="F101" s="31">
        <f>'декабрь 2014г. по 6-10'!F100+'декабрь 2014г. по 0,4'!F97</f>
        <v>3</v>
      </c>
      <c r="G101" s="31">
        <f>'декабрь 2014г. по 6-10'!G100+'декабрь 2014г. по 0,4'!G97</f>
        <v>11</v>
      </c>
      <c r="H101" s="24">
        <v>0</v>
      </c>
      <c r="I101" s="24">
        <v>0</v>
      </c>
      <c r="J101" s="31">
        <f>'декабрь 2014г. по 6-10'!J100+'декабрь 2014г. по 0,4'!J97</f>
        <v>3</v>
      </c>
      <c r="K101" s="31">
        <f>'декабрь 2014г. по 6-10'!K100+'декабрь 2014г. по 0,4'!K97</f>
        <v>11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</row>
    <row r="102" spans="1:17" ht="12.75" customHeight="1" x14ac:dyDescent="0.2">
      <c r="A102" s="18"/>
      <c r="B102" s="18"/>
      <c r="C102" s="19" t="s">
        <v>30</v>
      </c>
      <c r="D102" s="29">
        <f>D93+D94+D95+D96+D97+D98+D99+D100+D101</f>
        <v>47</v>
      </c>
      <c r="E102" s="29">
        <f t="shared" ref="E102:Q102" si="7">E93+E94+E95+E96+E97+E98+E99+E100+E101</f>
        <v>960</v>
      </c>
      <c r="F102" s="29">
        <f t="shared" si="7"/>
        <v>42</v>
      </c>
      <c r="G102" s="29">
        <f t="shared" si="7"/>
        <v>705</v>
      </c>
      <c r="H102" s="29">
        <f t="shared" si="7"/>
        <v>1</v>
      </c>
      <c r="I102" s="29">
        <f t="shared" si="7"/>
        <v>15</v>
      </c>
      <c r="J102" s="29">
        <f t="shared" si="7"/>
        <v>44</v>
      </c>
      <c r="K102" s="29">
        <f t="shared" si="7"/>
        <v>523</v>
      </c>
      <c r="L102" s="8">
        <f t="shared" si="7"/>
        <v>0</v>
      </c>
      <c r="M102" s="8">
        <f t="shared" si="7"/>
        <v>0</v>
      </c>
      <c r="N102" s="8">
        <f t="shared" si="7"/>
        <v>0</v>
      </c>
      <c r="O102" s="8">
        <f t="shared" si="7"/>
        <v>0</v>
      </c>
      <c r="P102" s="8">
        <f t="shared" si="7"/>
        <v>0</v>
      </c>
      <c r="Q102" s="8">
        <f t="shared" si="7"/>
        <v>0</v>
      </c>
    </row>
    <row r="103" spans="1:17" ht="21" customHeight="1" x14ac:dyDescent="0.25">
      <c r="A103" s="18"/>
      <c r="B103" s="18"/>
      <c r="C103" s="126" t="s">
        <v>94</v>
      </c>
      <c r="D103" s="126"/>
      <c r="E103" s="29"/>
      <c r="F103" s="29"/>
      <c r="G103" s="29"/>
      <c r="H103" s="29"/>
      <c r="I103" s="29"/>
      <c r="J103" s="29"/>
      <c r="K103" s="29"/>
      <c r="L103" s="8"/>
      <c r="M103" s="8"/>
      <c r="N103" s="8"/>
      <c r="O103" s="8"/>
      <c r="P103" s="8"/>
      <c r="Q103" s="8"/>
    </row>
    <row r="104" spans="1:17" ht="12.75" customHeight="1" x14ac:dyDescent="0.25">
      <c r="A104" s="18"/>
      <c r="B104" s="18"/>
      <c r="C104" s="19" t="s">
        <v>95</v>
      </c>
      <c r="D104" s="31">
        <f>'декабрь 2014г. по 6-10'!D103+'декабрь 2014г. по 0,4'!D100</f>
        <v>0</v>
      </c>
      <c r="E104" s="31">
        <f>'декабрь 2014г. по 6-10'!E103+'декабрь 2014г. по 0,4'!E100</f>
        <v>0</v>
      </c>
      <c r="F104" s="31">
        <f>'декабрь 2014г. по 6-10'!F103+'декабрь 2014г. по 0,4'!F100</f>
        <v>0</v>
      </c>
      <c r="G104" s="31">
        <f>'декабрь 2014г. по 6-10'!G103+'декабрь 2014г. по 0,4'!G100</f>
        <v>0</v>
      </c>
      <c r="H104" s="24">
        <v>1</v>
      </c>
      <c r="I104" s="24">
        <v>15</v>
      </c>
      <c r="J104" s="31">
        <f>'декабрь 2014г. по 6-10'!J103+'декабрь 2014г. по 0,4'!J100</f>
        <v>0</v>
      </c>
      <c r="K104" s="31">
        <f>'декабрь 2014г. по 6-10'!K103+'декабрь 2014г. по 0,4'!K100</f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</row>
    <row r="105" spans="1:17" ht="12.75" customHeight="1" x14ac:dyDescent="0.25">
      <c r="A105" s="18"/>
      <c r="B105" s="18"/>
      <c r="C105" s="19" t="s">
        <v>96</v>
      </c>
      <c r="D105" s="31">
        <f>'декабрь 2014г. по 6-10'!D104+'декабрь 2014г. по 0,4'!D101</f>
        <v>96</v>
      </c>
      <c r="E105" s="31">
        <f>'декабрь 2014г. по 6-10'!E104+'декабрь 2014г. по 0,4'!E101</f>
        <v>3562</v>
      </c>
      <c r="F105" s="31">
        <f>'декабрь 2014г. по 6-10'!F104+'декабрь 2014г. по 0,4'!F101</f>
        <v>57</v>
      </c>
      <c r="G105" s="31">
        <f>'декабрь 2014г. по 6-10'!G104+'декабрь 2014г. по 0,4'!G101</f>
        <v>2095</v>
      </c>
      <c r="H105" s="24">
        <v>0</v>
      </c>
      <c r="I105" s="24">
        <v>0</v>
      </c>
      <c r="J105" s="31">
        <f>'декабрь 2014г. по 6-10'!J104+'декабрь 2014г. по 0,4'!J101</f>
        <v>78</v>
      </c>
      <c r="K105" s="31">
        <f>'декабрь 2014г. по 6-10'!K104+'декабрь 2014г. по 0,4'!K101</f>
        <v>1440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</row>
    <row r="106" spans="1:17" ht="12.75" customHeight="1" x14ac:dyDescent="0.25">
      <c r="A106" s="18"/>
      <c r="B106" s="18"/>
      <c r="C106" s="19" t="s">
        <v>97</v>
      </c>
      <c r="D106" s="31">
        <f>'декабрь 2014г. по 6-10'!D105+'декабрь 2014г. по 0,4'!D102</f>
        <v>49</v>
      </c>
      <c r="E106" s="31">
        <f>'декабрь 2014г. по 6-10'!E105+'декабрь 2014г. по 0,4'!E102</f>
        <v>2293.9</v>
      </c>
      <c r="F106" s="31">
        <f>'декабрь 2014г. по 6-10'!F105+'декабрь 2014г. по 0,4'!F102</f>
        <v>34</v>
      </c>
      <c r="G106" s="31">
        <f>'декабрь 2014г. по 6-10'!G105+'декабрь 2014г. по 0,4'!G102</f>
        <v>373</v>
      </c>
      <c r="H106" s="24">
        <v>0</v>
      </c>
      <c r="I106" s="24">
        <v>0</v>
      </c>
      <c r="J106" s="31">
        <f>'декабрь 2014г. по 6-10'!J105+'декабрь 2014г. по 0,4'!J102</f>
        <v>47</v>
      </c>
      <c r="K106" s="31">
        <f>'декабрь 2014г. по 6-10'!K105+'декабрь 2014г. по 0,4'!K102</f>
        <v>875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</row>
    <row r="107" spans="1:17" ht="12.75" customHeight="1" x14ac:dyDescent="0.25">
      <c r="A107" s="18"/>
      <c r="B107" s="18"/>
      <c r="C107" s="19" t="s">
        <v>98</v>
      </c>
      <c r="D107" s="31">
        <f>'декабрь 2014г. по 6-10'!D106+'декабрь 2014г. по 0,4'!D103</f>
        <v>25</v>
      </c>
      <c r="E107" s="31">
        <f>'декабрь 2014г. по 6-10'!E106+'декабрь 2014г. по 0,4'!E103</f>
        <v>494.25</v>
      </c>
      <c r="F107" s="31">
        <f>'декабрь 2014г. по 6-10'!F106+'декабрь 2014г. по 0,4'!F103</f>
        <v>24</v>
      </c>
      <c r="G107" s="31">
        <f>'декабрь 2014г. по 6-10'!G106+'декабрь 2014г. по 0,4'!G103</f>
        <v>188</v>
      </c>
      <c r="H107" s="24">
        <v>0</v>
      </c>
      <c r="I107" s="24">
        <v>0</v>
      </c>
      <c r="J107" s="31">
        <f>'декабрь 2014г. по 6-10'!J106+'декабрь 2014г. по 0,4'!J103</f>
        <v>31</v>
      </c>
      <c r="K107" s="31">
        <f>'декабрь 2014г. по 6-10'!K106+'декабрь 2014г. по 0,4'!K103</f>
        <v>370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</row>
    <row r="108" spans="1:17" ht="12.75" customHeight="1" x14ac:dyDescent="0.25">
      <c r="A108" s="18"/>
      <c r="B108" s="18"/>
      <c r="C108" s="19" t="s">
        <v>99</v>
      </c>
      <c r="D108" s="31">
        <f>'декабрь 2014г. по 6-10'!D107+'декабрь 2014г. по 0,4'!D104</f>
        <v>38</v>
      </c>
      <c r="E108" s="31">
        <f>'декабрь 2014г. по 6-10'!E107+'декабрь 2014г. по 0,4'!E104</f>
        <v>1853.25</v>
      </c>
      <c r="F108" s="31">
        <f>'декабрь 2014г. по 6-10'!F107+'декабрь 2014г. по 0,4'!F104</f>
        <v>34</v>
      </c>
      <c r="G108" s="31">
        <f>'декабрь 2014г. по 6-10'!G107+'декабрь 2014г. по 0,4'!G104</f>
        <v>881.25</v>
      </c>
      <c r="H108" s="24">
        <v>0</v>
      </c>
      <c r="I108" s="24">
        <v>0</v>
      </c>
      <c r="J108" s="31">
        <f>'декабрь 2014г. по 6-10'!J107+'декабрь 2014г. по 0,4'!J104</f>
        <v>27</v>
      </c>
      <c r="K108" s="31">
        <f>'декабрь 2014г. по 6-10'!K107+'декабрь 2014г. по 0,4'!K104</f>
        <v>292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</row>
    <row r="109" spans="1:17" ht="12.75" customHeight="1" x14ac:dyDescent="0.25">
      <c r="A109" s="18"/>
      <c r="B109" s="18"/>
      <c r="C109" s="19" t="s">
        <v>100</v>
      </c>
      <c r="D109" s="31">
        <f>'декабрь 2014г. по 6-10'!D108+'декабрь 2014г. по 0,4'!D105</f>
        <v>27</v>
      </c>
      <c r="E109" s="31">
        <f>'декабрь 2014г. по 6-10'!E108+'декабрь 2014г. по 0,4'!E105</f>
        <v>1080</v>
      </c>
      <c r="F109" s="31">
        <f>'декабрь 2014г. по 6-10'!F108+'декабрь 2014г. по 0,4'!F105</f>
        <v>22</v>
      </c>
      <c r="G109" s="31">
        <f>'декабрь 2014г. по 6-10'!G108+'декабрь 2014г. по 0,4'!G105</f>
        <v>529</v>
      </c>
      <c r="H109" s="24">
        <v>0</v>
      </c>
      <c r="I109" s="24">
        <v>0</v>
      </c>
      <c r="J109" s="31">
        <f>'декабрь 2014г. по 6-10'!J108+'декабрь 2014г. по 0,4'!J105</f>
        <v>17</v>
      </c>
      <c r="K109" s="31">
        <f>'декабрь 2014г. по 6-10'!K108+'декабрь 2014г. по 0,4'!K105</f>
        <v>204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</row>
    <row r="110" spans="1:17" ht="12.75" customHeight="1" x14ac:dyDescent="0.25">
      <c r="A110" s="18"/>
      <c r="B110" s="18"/>
      <c r="C110" s="19" t="s">
        <v>101</v>
      </c>
      <c r="D110" s="31">
        <f>'декабрь 2014г. по 6-10'!D109+'декабрь 2014г. по 0,4'!D106</f>
        <v>16</v>
      </c>
      <c r="E110" s="31">
        <f>'декабрь 2014г. по 6-10'!E109+'декабрь 2014г. по 0,4'!E106</f>
        <v>894.5</v>
      </c>
      <c r="F110" s="31">
        <f>'декабрь 2014г. по 6-10'!F109+'декабрь 2014г. по 0,4'!F106</f>
        <v>12</v>
      </c>
      <c r="G110" s="31">
        <f>'декабрь 2014г. по 6-10'!G109+'декабрь 2014г. по 0,4'!G106</f>
        <v>169.5</v>
      </c>
      <c r="H110" s="24">
        <v>0</v>
      </c>
      <c r="I110" s="24">
        <v>0</v>
      </c>
      <c r="J110" s="31">
        <f>'декабрь 2014г. по 6-10'!J109+'декабрь 2014г. по 0,4'!J106</f>
        <v>7</v>
      </c>
      <c r="K110" s="31">
        <f>'декабрь 2014г. по 6-10'!K109+'декабрь 2014г. по 0,4'!K106</f>
        <v>64.5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</row>
    <row r="111" spans="1:17" ht="12.75" customHeight="1" x14ac:dyDescent="0.25">
      <c r="A111" s="18"/>
      <c r="B111" s="18"/>
      <c r="C111" s="19" t="s">
        <v>102</v>
      </c>
      <c r="D111" s="31">
        <f>'декабрь 2014г. по 6-10'!D110+'декабрь 2014г. по 0,4'!D107</f>
        <v>14</v>
      </c>
      <c r="E111" s="31">
        <f>'декабрь 2014г. по 6-10'!E110+'декабрь 2014г. по 0,4'!E107</f>
        <v>340</v>
      </c>
      <c r="F111" s="31">
        <f>'декабрь 2014г. по 6-10'!F110+'декабрь 2014г. по 0,4'!F107</f>
        <v>14</v>
      </c>
      <c r="G111" s="31">
        <f>'декабрь 2014г. по 6-10'!G110+'декабрь 2014г. по 0,4'!G107</f>
        <v>140</v>
      </c>
      <c r="H111" s="24">
        <v>0</v>
      </c>
      <c r="I111" s="24">
        <v>0</v>
      </c>
      <c r="J111" s="31">
        <f>'декабрь 2014г. по 6-10'!J110+'декабрь 2014г. по 0,4'!J107</f>
        <v>11</v>
      </c>
      <c r="K111" s="31">
        <f>'декабрь 2014г. по 6-10'!K110+'декабрь 2014г. по 0,4'!K107</f>
        <v>85</v>
      </c>
      <c r="L111" s="8">
        <v>0</v>
      </c>
      <c r="M111" s="8">
        <v>0</v>
      </c>
      <c r="N111" s="8">
        <v>0</v>
      </c>
      <c r="O111" s="8">
        <v>0</v>
      </c>
      <c r="P111" s="8">
        <v>0</v>
      </c>
      <c r="Q111" s="8">
        <v>0</v>
      </c>
    </row>
    <row r="112" spans="1:17" ht="12.75" customHeight="1" x14ac:dyDescent="0.25">
      <c r="A112" s="18"/>
      <c r="B112" s="18"/>
      <c r="C112" s="19" t="s">
        <v>103</v>
      </c>
      <c r="D112" s="31">
        <f>'декабрь 2014г. по 6-10'!D111+'декабрь 2014г. по 0,4'!D108</f>
        <v>46</v>
      </c>
      <c r="E112" s="31">
        <f>'декабрь 2014г. по 6-10'!E111+'декабрь 2014г. по 0,4'!E108</f>
        <v>835</v>
      </c>
      <c r="F112" s="31">
        <f>'декабрь 2014г. по 6-10'!F111+'декабрь 2014г. по 0,4'!F108</f>
        <v>30</v>
      </c>
      <c r="G112" s="31">
        <f>'декабрь 2014г. по 6-10'!G111+'декабрь 2014г. по 0,4'!G108</f>
        <v>314.5</v>
      </c>
      <c r="H112" s="24">
        <v>2</v>
      </c>
      <c r="I112" s="24">
        <v>45</v>
      </c>
      <c r="J112" s="31">
        <f>'декабрь 2014г. по 6-10'!J111+'декабрь 2014г. по 0,4'!J108</f>
        <v>41</v>
      </c>
      <c r="K112" s="31">
        <f>'декабрь 2014г. по 6-10'!K111+'декабрь 2014г. по 0,4'!K108</f>
        <v>415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</row>
    <row r="113" spans="1:17" ht="12.75" customHeight="1" x14ac:dyDescent="0.25">
      <c r="A113" s="18"/>
      <c r="B113" s="18"/>
      <c r="C113" s="19" t="s">
        <v>104</v>
      </c>
      <c r="D113" s="31">
        <f>'декабрь 2014г. по 6-10'!D112+'декабрь 2014г. по 0,4'!D109</f>
        <v>16</v>
      </c>
      <c r="E113" s="31">
        <f>'декабрь 2014г. по 6-10'!E112+'декабрь 2014г. по 0,4'!E109</f>
        <v>96</v>
      </c>
      <c r="F113" s="31">
        <f>'декабрь 2014г. по 6-10'!F112+'декабрь 2014г. по 0,4'!F109</f>
        <v>14</v>
      </c>
      <c r="G113" s="31">
        <f>'декабрь 2014г. по 6-10'!G112+'декабрь 2014г. по 0,4'!G109</f>
        <v>88</v>
      </c>
      <c r="H113" s="24">
        <v>0</v>
      </c>
      <c r="I113" s="24">
        <v>0</v>
      </c>
      <c r="J113" s="31">
        <f>'декабрь 2014г. по 6-10'!J112+'декабрь 2014г. по 0,4'!J109</f>
        <v>13</v>
      </c>
      <c r="K113" s="31">
        <f>'декабрь 2014г. по 6-10'!K112+'декабрь 2014г. по 0,4'!K109</f>
        <v>69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</row>
    <row r="114" spans="1:17" ht="12.75" customHeight="1" x14ac:dyDescent="0.25">
      <c r="A114" s="18"/>
      <c r="B114" s="18"/>
      <c r="C114" s="19" t="s">
        <v>105</v>
      </c>
      <c r="D114" s="31">
        <f>'декабрь 2014г. по 6-10'!D113+'декабрь 2014г. по 0,4'!D110</f>
        <v>11</v>
      </c>
      <c r="E114" s="31">
        <f>'декабрь 2014г. по 6-10'!E113+'декабрь 2014г. по 0,4'!E110</f>
        <v>100.65</v>
      </c>
      <c r="F114" s="31">
        <f>'декабрь 2014г. по 6-10'!F113+'декабрь 2014г. по 0,4'!F110</f>
        <v>10</v>
      </c>
      <c r="G114" s="31">
        <f>'декабрь 2014г. по 6-10'!G113+'декабрь 2014г. по 0,4'!G110</f>
        <v>71.400000000000006</v>
      </c>
      <c r="H114" s="24">
        <v>0</v>
      </c>
      <c r="I114" s="24">
        <v>0</v>
      </c>
      <c r="J114" s="31">
        <f>'декабрь 2014г. по 6-10'!J113+'декабрь 2014г. по 0,4'!J110</f>
        <v>9</v>
      </c>
      <c r="K114" s="31">
        <f>'декабрь 2014г. по 6-10'!K113+'декабрь 2014г. по 0,4'!K110</f>
        <v>46.4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</row>
    <row r="115" spans="1:17" ht="12.75" customHeight="1" x14ac:dyDescent="0.2">
      <c r="A115" s="18"/>
      <c r="B115" s="18"/>
      <c r="C115" s="19" t="s">
        <v>30</v>
      </c>
      <c r="D115" s="29">
        <f>D104+D105+D106+D107+D108+D109+D110+D111+D112+D113+D114</f>
        <v>338</v>
      </c>
      <c r="E115" s="29">
        <f t="shared" ref="E115:Q115" si="8">E104+E105+E106+E107+E108+E109+E110+E111+E112+E113+E114</f>
        <v>11549.55</v>
      </c>
      <c r="F115" s="29">
        <f t="shared" si="8"/>
        <v>251</v>
      </c>
      <c r="G115" s="29">
        <f t="shared" si="8"/>
        <v>4849.6499999999996</v>
      </c>
      <c r="H115" s="29">
        <f t="shared" si="8"/>
        <v>3</v>
      </c>
      <c r="I115" s="29">
        <f t="shared" si="8"/>
        <v>60</v>
      </c>
      <c r="J115" s="29">
        <f t="shared" si="8"/>
        <v>281</v>
      </c>
      <c r="K115" s="29">
        <f t="shared" si="8"/>
        <v>3860.9</v>
      </c>
      <c r="L115" s="8">
        <f t="shared" si="8"/>
        <v>0</v>
      </c>
      <c r="M115" s="8">
        <f t="shared" si="8"/>
        <v>0</v>
      </c>
      <c r="N115" s="8">
        <f t="shared" si="8"/>
        <v>0</v>
      </c>
      <c r="O115" s="8">
        <f t="shared" si="8"/>
        <v>0</v>
      </c>
      <c r="P115" s="8">
        <f t="shared" si="8"/>
        <v>0</v>
      </c>
      <c r="Q115" s="8">
        <f t="shared" si="8"/>
        <v>0</v>
      </c>
    </row>
    <row r="116" spans="1:17" ht="19.5" customHeight="1" x14ac:dyDescent="0.25">
      <c r="A116" s="18"/>
      <c r="B116" s="18"/>
      <c r="C116" s="126" t="s">
        <v>106</v>
      </c>
      <c r="D116" s="126"/>
      <c r="E116" s="29"/>
      <c r="F116" s="29"/>
      <c r="G116" s="29"/>
      <c r="H116" s="29"/>
      <c r="I116" s="29"/>
      <c r="J116" s="29"/>
      <c r="K116" s="29"/>
      <c r="L116" s="8"/>
      <c r="M116" s="8"/>
      <c r="N116" s="8"/>
      <c r="O116" s="8"/>
      <c r="P116" s="8"/>
      <c r="Q116" s="8"/>
    </row>
    <row r="117" spans="1:17" ht="12.75" customHeight="1" x14ac:dyDescent="0.2">
      <c r="A117" s="18"/>
      <c r="B117" s="18"/>
      <c r="C117" s="21" t="s">
        <v>107</v>
      </c>
      <c r="D117" s="31">
        <f>'декабрь 2014г. по 6-10'!D116+'декабрь 2014г. по 0,4'!D113</f>
        <v>5</v>
      </c>
      <c r="E117" s="31">
        <f>'декабрь 2014г. по 6-10'!E116+'декабрь 2014г. по 0,4'!E113</f>
        <v>50</v>
      </c>
      <c r="F117" s="31">
        <f>'декабрь 2014г. по 6-10'!F116+'декабрь 2014г. по 0,4'!F113</f>
        <v>0</v>
      </c>
      <c r="G117" s="31">
        <f>'декабрь 2014г. по 6-10'!G116+'декабрь 2014г. по 0,4'!G113</f>
        <v>0</v>
      </c>
      <c r="H117" s="29">
        <v>0</v>
      </c>
      <c r="I117" s="29">
        <v>0</v>
      </c>
      <c r="J117" s="31">
        <f>'декабрь 2014г. по 6-10'!J116+'декабрь 2014г. по 0,4'!J113</f>
        <v>5</v>
      </c>
      <c r="K117" s="31">
        <f>'декабрь 2014г. по 6-10'!K116+'декабрь 2014г. по 0,4'!K113</f>
        <v>50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</row>
    <row r="118" spans="1:17" ht="12.75" customHeight="1" x14ac:dyDescent="0.2">
      <c r="A118" s="18"/>
      <c r="B118" s="18"/>
      <c r="C118" s="21" t="s">
        <v>108</v>
      </c>
      <c r="D118" s="31">
        <f>'декабрь 2014г. по 6-10'!D117+'декабрь 2014г. по 0,4'!D114</f>
        <v>40</v>
      </c>
      <c r="E118" s="31">
        <f>'декабрь 2014г. по 6-10'!E117+'декабрь 2014г. по 0,4'!E114</f>
        <v>2535.9</v>
      </c>
      <c r="F118" s="31">
        <f>'декабрь 2014г. по 6-10'!F117+'декабрь 2014г. по 0,4'!F114</f>
        <v>30</v>
      </c>
      <c r="G118" s="31">
        <f>'декабрь 2014г. по 6-10'!G117+'декабрь 2014г. по 0,4'!G114</f>
        <v>1282.9000000000001</v>
      </c>
      <c r="H118" s="29">
        <v>0</v>
      </c>
      <c r="I118" s="29">
        <v>0</v>
      </c>
      <c r="J118" s="31">
        <f>'декабрь 2014г. по 6-10'!J117+'декабрь 2014г. по 0,4'!J114</f>
        <v>32</v>
      </c>
      <c r="K118" s="31">
        <f>'декабрь 2014г. по 6-10'!K117+'декабрь 2014г. по 0,4'!K114</f>
        <v>880.9</v>
      </c>
      <c r="L118" s="8">
        <v>0</v>
      </c>
      <c r="M118" s="8">
        <v>0</v>
      </c>
      <c r="N118" s="8">
        <v>0</v>
      </c>
      <c r="O118" s="8">
        <v>0</v>
      </c>
      <c r="P118" s="8">
        <v>0</v>
      </c>
      <c r="Q118" s="8">
        <v>0</v>
      </c>
    </row>
    <row r="119" spans="1:17" ht="12.75" customHeight="1" x14ac:dyDescent="0.2">
      <c r="A119" s="18"/>
      <c r="B119" s="18"/>
      <c r="C119" s="21" t="s">
        <v>109</v>
      </c>
      <c r="D119" s="31">
        <f>'декабрь 2014г. по 6-10'!D118+'декабрь 2014г. по 0,4'!D115</f>
        <v>22</v>
      </c>
      <c r="E119" s="31">
        <f>'декабрь 2014г. по 6-10'!E118+'декабрь 2014г. по 0,4'!E115</f>
        <v>1445</v>
      </c>
      <c r="F119" s="31">
        <f>'декабрь 2014г. по 6-10'!F118+'декабрь 2014г. по 0,4'!F115</f>
        <v>7</v>
      </c>
      <c r="G119" s="31">
        <f>'декабрь 2014г. по 6-10'!G118+'декабрь 2014г. по 0,4'!G115</f>
        <v>156</v>
      </c>
      <c r="H119" s="29">
        <v>0</v>
      </c>
      <c r="I119" s="29">
        <v>0</v>
      </c>
      <c r="J119" s="31">
        <f>'декабрь 2014г. по 6-10'!J118+'декабрь 2014г. по 0,4'!J115</f>
        <v>15</v>
      </c>
      <c r="K119" s="31">
        <f>'декабрь 2014г. по 6-10'!K118+'декабрь 2014г. по 0,4'!K115</f>
        <v>150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</row>
    <row r="120" spans="1:17" ht="12.75" customHeight="1" x14ac:dyDescent="0.2">
      <c r="A120" s="18"/>
      <c r="B120" s="18"/>
      <c r="C120" s="21" t="s">
        <v>110</v>
      </c>
      <c r="D120" s="31">
        <f>'декабрь 2014г. по 6-10'!D119+'декабрь 2014г. по 0,4'!D116</f>
        <v>5</v>
      </c>
      <c r="E120" s="31">
        <f>'декабрь 2014г. по 6-10'!E119+'декабрь 2014г. по 0,4'!E116</f>
        <v>241</v>
      </c>
      <c r="F120" s="31">
        <f>'декабрь 2014г. по 6-10'!F119+'декабрь 2014г. по 0,4'!F116</f>
        <v>5</v>
      </c>
      <c r="G120" s="31">
        <f>'декабрь 2014г. по 6-10'!G119+'декабрь 2014г. по 0,4'!G116</f>
        <v>241</v>
      </c>
      <c r="H120" s="29">
        <v>0</v>
      </c>
      <c r="I120" s="29">
        <v>0</v>
      </c>
      <c r="J120" s="31">
        <f>'декабрь 2014г. по 6-10'!J119+'декабрь 2014г. по 0,4'!J116</f>
        <v>3</v>
      </c>
      <c r="K120" s="31">
        <f>'декабрь 2014г. по 6-10'!K119+'декабрь 2014г. по 0,4'!K116</f>
        <v>43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</row>
    <row r="121" spans="1:17" ht="12.75" customHeight="1" x14ac:dyDescent="0.2">
      <c r="A121" s="18"/>
      <c r="B121" s="18"/>
      <c r="C121" s="21" t="s">
        <v>111</v>
      </c>
      <c r="D121" s="31">
        <f>'декабрь 2014г. по 6-10'!D120+'декабрь 2014г. по 0,4'!D117</f>
        <v>0</v>
      </c>
      <c r="E121" s="31">
        <f>'декабрь 2014г. по 6-10'!E120+'декабрь 2014г. по 0,4'!E117</f>
        <v>0</v>
      </c>
      <c r="F121" s="31">
        <f>'декабрь 2014г. по 6-10'!F120+'декабрь 2014г. по 0,4'!F117</f>
        <v>0</v>
      </c>
      <c r="G121" s="31">
        <f>'декабрь 2014г. по 6-10'!G120+'декабрь 2014г. по 0,4'!G117</f>
        <v>0</v>
      </c>
      <c r="H121" s="29">
        <v>0</v>
      </c>
      <c r="I121" s="29">
        <v>0</v>
      </c>
      <c r="J121" s="31">
        <f>'декабрь 2014г. по 6-10'!J120+'декабрь 2014г. по 0,4'!J117</f>
        <v>0</v>
      </c>
      <c r="K121" s="31">
        <f>'декабрь 2014г. по 6-10'!K120+'декабрь 2014г. по 0,4'!K117</f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</row>
    <row r="122" spans="1:17" ht="12.75" customHeight="1" x14ac:dyDescent="0.2">
      <c r="A122" s="18"/>
      <c r="B122" s="18"/>
      <c r="C122" s="21" t="s">
        <v>112</v>
      </c>
      <c r="D122" s="31">
        <f>'декабрь 2014г. по 6-10'!D121+'декабрь 2014г. по 0,4'!D118</f>
        <v>12</v>
      </c>
      <c r="E122" s="31">
        <f>'декабрь 2014г. по 6-10'!E121+'декабрь 2014г. по 0,4'!E118</f>
        <v>90</v>
      </c>
      <c r="F122" s="31">
        <f>'декабрь 2014г. по 6-10'!F121+'декабрь 2014г. по 0,4'!F118</f>
        <v>0</v>
      </c>
      <c r="G122" s="31">
        <f>'декабрь 2014г. по 6-10'!G121+'декабрь 2014г. по 0,4'!G118</f>
        <v>0</v>
      </c>
      <c r="H122" s="29">
        <v>0</v>
      </c>
      <c r="I122" s="29">
        <v>0</v>
      </c>
      <c r="J122" s="31">
        <f>'декабрь 2014г. по 6-10'!J121+'декабрь 2014г. по 0,4'!J118</f>
        <v>12</v>
      </c>
      <c r="K122" s="31">
        <f>'декабрь 2014г. по 6-10'!K121+'декабрь 2014г. по 0,4'!K118</f>
        <v>90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</row>
    <row r="123" spans="1:17" ht="12.75" customHeight="1" x14ac:dyDescent="0.2">
      <c r="A123" s="18"/>
      <c r="B123" s="18"/>
      <c r="C123" s="21" t="s">
        <v>113</v>
      </c>
      <c r="D123" s="31">
        <f>'декабрь 2014г. по 6-10'!D122+'декабрь 2014г. по 0,4'!D119</f>
        <v>7</v>
      </c>
      <c r="E123" s="31">
        <f>'декабрь 2014г. по 6-10'!E122+'декабрь 2014г. по 0,4'!E119</f>
        <v>76.900000000000006</v>
      </c>
      <c r="F123" s="31">
        <f>'декабрь 2014г. по 6-10'!F122+'декабрь 2014г. по 0,4'!F119</f>
        <v>7</v>
      </c>
      <c r="G123" s="31">
        <f>'декабрь 2014г. по 6-10'!G122+'декабрь 2014г. по 0,4'!G119</f>
        <v>76.900000000000006</v>
      </c>
      <c r="H123" s="29">
        <v>0</v>
      </c>
      <c r="I123" s="29">
        <v>0</v>
      </c>
      <c r="J123" s="31">
        <f>'декабрь 2014г. по 6-10'!J122+'декабрь 2014г. по 0,4'!J119</f>
        <v>7</v>
      </c>
      <c r="K123" s="31">
        <f>'декабрь 2014г. по 6-10'!K122+'декабрь 2014г. по 0,4'!K119</f>
        <v>76.5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</row>
    <row r="124" spans="1:17" ht="12.75" customHeight="1" x14ac:dyDescent="0.2">
      <c r="A124" s="18"/>
      <c r="B124" s="18"/>
      <c r="C124" s="21" t="s">
        <v>114</v>
      </c>
      <c r="D124" s="31">
        <f>'декабрь 2014г. по 6-10'!D123+'декабрь 2014г. по 0,4'!D120</f>
        <v>15</v>
      </c>
      <c r="E124" s="31">
        <f>'декабрь 2014г. по 6-10'!E123+'декабрь 2014г. по 0,4'!E120</f>
        <v>336.5</v>
      </c>
      <c r="F124" s="31">
        <f>'декабрь 2014г. по 6-10'!F123+'декабрь 2014г. по 0,4'!F120</f>
        <v>15</v>
      </c>
      <c r="G124" s="31">
        <f>'декабрь 2014г. по 6-10'!G123+'декабрь 2014г. по 0,4'!G120</f>
        <v>336.5</v>
      </c>
      <c r="H124" s="29">
        <v>0</v>
      </c>
      <c r="I124" s="29">
        <v>0</v>
      </c>
      <c r="J124" s="31">
        <f>'декабрь 2014г. по 6-10'!J123+'декабрь 2014г. по 0,4'!J120</f>
        <v>11</v>
      </c>
      <c r="K124" s="31">
        <f>'декабрь 2014г. по 6-10'!K123+'декабрь 2014г. по 0,4'!K120</f>
        <v>50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</row>
    <row r="125" spans="1:17" ht="12.75" customHeight="1" x14ac:dyDescent="0.2">
      <c r="A125" s="18"/>
      <c r="B125" s="18"/>
      <c r="C125" s="21" t="s">
        <v>115</v>
      </c>
      <c r="D125" s="31">
        <f>'декабрь 2014г. по 6-10'!D124+'декабрь 2014г. по 0,4'!D121</f>
        <v>3</v>
      </c>
      <c r="E125" s="31">
        <f>'декабрь 2014г. по 6-10'!E124+'декабрь 2014г. по 0,4'!E121</f>
        <v>12.5</v>
      </c>
      <c r="F125" s="31">
        <f>'декабрь 2014г. по 6-10'!F124+'декабрь 2014г. по 0,4'!F121</f>
        <v>3</v>
      </c>
      <c r="G125" s="31">
        <f>'декабрь 2014г. по 6-10'!G124+'декабрь 2014г. по 0,4'!G121</f>
        <v>12.5</v>
      </c>
      <c r="H125" s="29">
        <v>0</v>
      </c>
      <c r="I125" s="29">
        <v>0</v>
      </c>
      <c r="J125" s="31">
        <f>'декабрь 2014г. по 6-10'!J124+'декабрь 2014г. по 0,4'!J121</f>
        <v>3</v>
      </c>
      <c r="K125" s="31">
        <f>'декабрь 2014г. по 6-10'!K124+'декабрь 2014г. по 0,4'!K121</f>
        <v>12.5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</row>
    <row r="126" spans="1:17" ht="12.75" customHeight="1" x14ac:dyDescent="0.2">
      <c r="A126" s="18"/>
      <c r="B126" s="18"/>
      <c r="C126" s="21" t="s">
        <v>116</v>
      </c>
      <c r="D126" s="31">
        <f>'декабрь 2014г. по 6-10'!D125+'декабрь 2014г. по 0,4'!D122</f>
        <v>12</v>
      </c>
      <c r="E126" s="31">
        <f>'декабрь 2014г. по 6-10'!E125+'декабрь 2014г. по 0,4'!E122</f>
        <v>254.8</v>
      </c>
      <c r="F126" s="31">
        <f>'декабрь 2014г. по 6-10'!F125+'декабрь 2014г. по 0,4'!F122</f>
        <v>10</v>
      </c>
      <c r="G126" s="31">
        <f>'декабрь 2014г. по 6-10'!G125+'декабрь 2014г. по 0,4'!G122</f>
        <v>65.8</v>
      </c>
      <c r="H126" s="29">
        <v>0</v>
      </c>
      <c r="I126" s="29">
        <v>0</v>
      </c>
      <c r="J126" s="31">
        <f>'декабрь 2014г. по 6-10'!J125+'декабрь 2014г. по 0,4'!J122</f>
        <v>10</v>
      </c>
      <c r="K126" s="31">
        <f>'декабрь 2014г. по 6-10'!K125+'декабрь 2014г. по 0,4'!K122</f>
        <v>65.8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</row>
    <row r="127" spans="1:17" ht="12.75" customHeight="1" x14ac:dyDescent="0.2">
      <c r="A127" s="18"/>
      <c r="B127" s="18"/>
      <c r="C127" s="22" t="s">
        <v>117</v>
      </c>
      <c r="D127" s="31">
        <f>'декабрь 2014г. по 6-10'!D126+'декабрь 2014г. по 0,4'!D123</f>
        <v>5</v>
      </c>
      <c r="E127" s="31">
        <f>'декабрь 2014г. по 6-10'!E126+'декабрь 2014г. по 0,4'!E123</f>
        <v>130</v>
      </c>
      <c r="F127" s="31">
        <f>'декабрь 2014г. по 6-10'!F126+'декабрь 2014г. по 0,4'!F123</f>
        <v>5</v>
      </c>
      <c r="G127" s="31">
        <f>'декабрь 2014г. по 6-10'!G126+'декабрь 2014г. по 0,4'!G123</f>
        <v>130</v>
      </c>
      <c r="H127" s="29">
        <v>0</v>
      </c>
      <c r="I127" s="29">
        <v>0</v>
      </c>
      <c r="J127" s="31">
        <f>'декабрь 2014г. по 6-10'!J126+'декабрь 2014г. по 0,4'!J123</f>
        <v>3</v>
      </c>
      <c r="K127" s="31">
        <f>'декабрь 2014г. по 6-10'!K126+'декабрь 2014г. по 0,4'!K123</f>
        <v>15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</row>
    <row r="128" spans="1:17" ht="12.75" customHeight="1" x14ac:dyDescent="0.2">
      <c r="A128" s="18"/>
      <c r="B128" s="18"/>
      <c r="C128" s="21" t="s">
        <v>118</v>
      </c>
      <c r="D128" s="31">
        <f>'декабрь 2014г. по 6-10'!D127+'декабрь 2014г. по 0,4'!D124</f>
        <v>1</v>
      </c>
      <c r="E128" s="31">
        <f>'декабрь 2014г. по 6-10'!E127+'декабрь 2014г. по 0,4'!E124</f>
        <v>160</v>
      </c>
      <c r="F128" s="31">
        <f>'декабрь 2014г. по 6-10'!F127+'декабрь 2014г. по 0,4'!F124</f>
        <v>1</v>
      </c>
      <c r="G128" s="31">
        <f>'декабрь 2014г. по 6-10'!G127+'декабрь 2014г. по 0,4'!G124</f>
        <v>160</v>
      </c>
      <c r="H128" s="29">
        <v>0</v>
      </c>
      <c r="I128" s="29">
        <v>0</v>
      </c>
      <c r="J128" s="31">
        <f>'декабрь 2014г. по 6-10'!J127+'декабрь 2014г. по 0,4'!J124</f>
        <v>0</v>
      </c>
      <c r="K128" s="31">
        <f>'декабрь 2014г. по 6-10'!K127+'декабрь 2014г. по 0,4'!K124</f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</row>
    <row r="129" spans="1:17" ht="12.75" customHeight="1" x14ac:dyDescent="0.2">
      <c r="A129" s="18"/>
      <c r="B129" s="18"/>
      <c r="C129" s="20" t="s">
        <v>30</v>
      </c>
      <c r="D129" s="29">
        <f>D117+D118+D119+D120+D121+D122+D123+D124+D125+D126+D127+D128</f>
        <v>127</v>
      </c>
      <c r="E129" s="29">
        <f t="shared" ref="E129:Q129" si="9">E117+E118+E119+E120+E121+E122+E123+E124+E125+E126+E127+E128</f>
        <v>5332.5999999999995</v>
      </c>
      <c r="F129" s="29">
        <f t="shared" si="9"/>
        <v>83</v>
      </c>
      <c r="G129" s="29">
        <f t="shared" si="9"/>
        <v>2461.6000000000004</v>
      </c>
      <c r="H129" s="29">
        <f t="shared" si="9"/>
        <v>0</v>
      </c>
      <c r="I129" s="29">
        <f t="shared" si="9"/>
        <v>0</v>
      </c>
      <c r="J129" s="29">
        <f t="shared" si="9"/>
        <v>101</v>
      </c>
      <c r="K129" s="29">
        <f t="shared" si="9"/>
        <v>1433.7</v>
      </c>
      <c r="L129" s="8">
        <f t="shared" si="9"/>
        <v>0</v>
      </c>
      <c r="M129" s="8">
        <f t="shared" si="9"/>
        <v>0</v>
      </c>
      <c r="N129" s="8">
        <f t="shared" si="9"/>
        <v>0</v>
      </c>
      <c r="O129" s="8">
        <f t="shared" si="9"/>
        <v>0</v>
      </c>
      <c r="P129" s="8">
        <f t="shared" si="9"/>
        <v>0</v>
      </c>
      <c r="Q129" s="8">
        <f t="shared" si="9"/>
        <v>0</v>
      </c>
    </row>
    <row r="130" spans="1:17" ht="25.5" customHeight="1" x14ac:dyDescent="0.2">
      <c r="A130" s="14"/>
      <c r="B130" s="15"/>
      <c r="C130" s="23" t="s">
        <v>119</v>
      </c>
      <c r="D130" s="36">
        <f>D30+D38+D52+D63+D70+D78+D91+D102+D115+D129</f>
        <v>2902</v>
      </c>
      <c r="E130" s="36">
        <f t="shared" ref="E130:Q130" si="10">E30+E38+E52+E63+E70+E78+E91+E102+E115+E129</f>
        <v>85820.540000000008</v>
      </c>
      <c r="F130" s="36">
        <f t="shared" si="10"/>
        <v>1922</v>
      </c>
      <c r="G130" s="36">
        <f t="shared" si="10"/>
        <v>45929.05</v>
      </c>
      <c r="H130" s="36">
        <f t="shared" si="10"/>
        <v>14</v>
      </c>
      <c r="I130" s="36">
        <f t="shared" si="10"/>
        <v>1147.8</v>
      </c>
      <c r="J130" s="36">
        <f t="shared" si="10"/>
        <v>2218</v>
      </c>
      <c r="K130" s="36">
        <f t="shared" si="10"/>
        <v>28896.800000000003</v>
      </c>
      <c r="L130" s="9">
        <f t="shared" si="10"/>
        <v>0</v>
      </c>
      <c r="M130" s="9">
        <f t="shared" si="10"/>
        <v>0</v>
      </c>
      <c r="N130" s="9">
        <f t="shared" si="10"/>
        <v>0</v>
      </c>
      <c r="O130" s="9">
        <f t="shared" si="10"/>
        <v>0</v>
      </c>
      <c r="P130" s="9">
        <f t="shared" si="10"/>
        <v>0</v>
      </c>
      <c r="Q130" s="9">
        <f t="shared" si="10"/>
        <v>0</v>
      </c>
    </row>
    <row r="131" spans="1:17" x14ac:dyDescent="0.2">
      <c r="A131" s="10" t="s">
        <v>10</v>
      </c>
      <c r="B131" s="127" t="s">
        <v>11</v>
      </c>
      <c r="C131" s="128"/>
      <c r="D131" s="37">
        <f t="shared" ref="D131" si="11">SUM(D130:D130)</f>
        <v>2902</v>
      </c>
      <c r="E131" s="38">
        <f t="shared" ref="E131" si="12">SUM(E130:E130)</f>
        <v>85820.540000000008</v>
      </c>
      <c r="F131" s="37">
        <f t="shared" ref="F131:Q131" si="13">SUM(F130:F130)</f>
        <v>1922</v>
      </c>
      <c r="G131" s="38">
        <f t="shared" si="13"/>
        <v>45929.05</v>
      </c>
      <c r="H131" s="37">
        <f t="shared" si="13"/>
        <v>14</v>
      </c>
      <c r="I131" s="38">
        <f t="shared" si="13"/>
        <v>1147.8</v>
      </c>
      <c r="J131" s="37">
        <f t="shared" si="13"/>
        <v>2218</v>
      </c>
      <c r="K131" s="38">
        <f t="shared" si="13"/>
        <v>28896.800000000003</v>
      </c>
      <c r="L131" s="11">
        <f t="shared" si="13"/>
        <v>0</v>
      </c>
      <c r="M131" s="12">
        <f t="shared" si="13"/>
        <v>0</v>
      </c>
      <c r="N131" s="11">
        <f t="shared" si="13"/>
        <v>0</v>
      </c>
      <c r="O131" s="12">
        <f t="shared" si="13"/>
        <v>0</v>
      </c>
      <c r="P131" s="11">
        <f t="shared" si="13"/>
        <v>0</v>
      </c>
      <c r="Q131" s="12">
        <f t="shared" si="13"/>
        <v>0</v>
      </c>
    </row>
    <row r="134" spans="1:17" x14ac:dyDescent="0.2">
      <c r="B134" t="s">
        <v>138</v>
      </c>
    </row>
    <row r="135" spans="1:17" x14ac:dyDescent="0.2">
      <c r="I135" s="30" t="s">
        <v>139</v>
      </c>
    </row>
    <row r="136" spans="1:17" ht="22.5" x14ac:dyDescent="0.2">
      <c r="F136" s="35"/>
      <c r="H136" s="39" t="s">
        <v>120</v>
      </c>
      <c r="I136" s="154" t="s">
        <v>121</v>
      </c>
      <c r="J136" s="154"/>
      <c r="K136" s="40">
        <v>15</v>
      </c>
    </row>
    <row r="137" spans="1:17" ht="22.5" x14ac:dyDescent="0.2">
      <c r="H137" s="39" t="s">
        <v>122</v>
      </c>
      <c r="I137" s="154" t="s">
        <v>121</v>
      </c>
      <c r="J137" s="154"/>
      <c r="K137" s="40">
        <v>15</v>
      </c>
    </row>
    <row r="138" spans="1:17" ht="22.5" x14ac:dyDescent="0.2">
      <c r="H138" s="39" t="s">
        <v>123</v>
      </c>
      <c r="I138" s="154" t="s">
        <v>124</v>
      </c>
      <c r="J138" s="154"/>
      <c r="K138" s="40">
        <v>5</v>
      </c>
    </row>
    <row r="139" spans="1:17" ht="22.5" x14ac:dyDescent="0.2">
      <c r="H139" s="41" t="s">
        <v>125</v>
      </c>
      <c r="I139" s="129" t="s">
        <v>126</v>
      </c>
      <c r="J139" s="130"/>
      <c r="K139" s="25">
        <v>50</v>
      </c>
    </row>
    <row r="140" spans="1:17" ht="22.5" customHeight="1" x14ac:dyDescent="0.2">
      <c r="H140" s="41" t="s">
        <v>127</v>
      </c>
      <c r="I140" s="129" t="s">
        <v>126</v>
      </c>
      <c r="J140" s="130"/>
      <c r="K140" s="42">
        <v>158</v>
      </c>
    </row>
    <row r="141" spans="1:17" ht="22.5" x14ac:dyDescent="0.2">
      <c r="H141" s="41" t="s">
        <v>128</v>
      </c>
      <c r="I141" s="129" t="s">
        <v>126</v>
      </c>
      <c r="J141" s="130"/>
      <c r="K141" s="27">
        <v>237</v>
      </c>
    </row>
    <row r="142" spans="1:17" ht="22.5" x14ac:dyDescent="0.2">
      <c r="H142" s="41" t="s">
        <v>129</v>
      </c>
      <c r="I142" s="129" t="s">
        <v>126</v>
      </c>
      <c r="J142" s="130"/>
      <c r="K142" s="27">
        <v>300</v>
      </c>
    </row>
    <row r="143" spans="1:17" ht="33.75" customHeight="1" x14ac:dyDescent="0.2">
      <c r="H143" s="41" t="s">
        <v>130</v>
      </c>
      <c r="I143" s="129" t="s">
        <v>131</v>
      </c>
      <c r="J143" s="130"/>
      <c r="K143" s="27">
        <v>300</v>
      </c>
    </row>
    <row r="144" spans="1:17" ht="22.5" x14ac:dyDescent="0.2">
      <c r="H144" s="43" t="s">
        <v>142</v>
      </c>
      <c r="I144" s="131" t="s">
        <v>141</v>
      </c>
      <c r="J144" s="132"/>
      <c r="K144" s="44">
        <v>6</v>
      </c>
    </row>
    <row r="145" spans="8:11" ht="22.5" x14ac:dyDescent="0.2">
      <c r="H145" s="26" t="s">
        <v>132</v>
      </c>
      <c r="I145" s="45" t="s">
        <v>133</v>
      </c>
      <c r="J145" s="45"/>
      <c r="K145" s="27">
        <v>5.6</v>
      </c>
    </row>
    <row r="146" spans="8:11" ht="22.5" x14ac:dyDescent="0.2">
      <c r="H146" s="26" t="s">
        <v>134</v>
      </c>
      <c r="I146" s="45" t="s">
        <v>133</v>
      </c>
      <c r="J146" s="45"/>
      <c r="K146" s="27">
        <v>5.6</v>
      </c>
    </row>
    <row r="147" spans="8:11" ht="22.5" x14ac:dyDescent="0.2">
      <c r="H147" s="26" t="s">
        <v>135</v>
      </c>
      <c r="I147" s="45" t="s">
        <v>133</v>
      </c>
      <c r="J147" s="45"/>
      <c r="K147" s="27">
        <v>5.6</v>
      </c>
    </row>
    <row r="148" spans="8:11" ht="22.5" x14ac:dyDescent="0.2">
      <c r="H148" s="26" t="s">
        <v>144</v>
      </c>
      <c r="I148" s="153" t="s">
        <v>143</v>
      </c>
      <c r="J148" s="153"/>
      <c r="K148" s="27">
        <v>15</v>
      </c>
    </row>
    <row r="149" spans="8:11" ht="22.5" x14ac:dyDescent="0.2">
      <c r="H149" s="26" t="s">
        <v>145</v>
      </c>
      <c r="I149" s="153" t="s">
        <v>143</v>
      </c>
      <c r="J149" s="153"/>
      <c r="K149" s="27">
        <v>30</v>
      </c>
    </row>
  </sheetData>
  <autoFilter ref="C21:C131"/>
  <customSheetViews>
    <customSheetView guid="{AE693E57-7143-42C6-BE39-5ABDB0359885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1"/>
      <headerFooter alignWithMargins="0"/>
      <autoFilter ref="C21:C131"/>
    </customSheetView>
    <customSheetView guid="{A743F9C7-8B89-4E8F-B91F-1FFB859064F2}" scale="85" showAutoFilter="1" state="hidden" topLeftCell="B84">
      <selection activeCell="E109" sqref="E109"/>
      <pageMargins left="0.75" right="0.75" top="1" bottom="1" header="0.5" footer="0.5"/>
      <pageSetup paperSize="9" scale="90" orientation="landscape" r:id="rId2"/>
      <headerFooter alignWithMargins="0"/>
      <autoFilter ref="C21:C131"/>
    </customSheetView>
  </customSheetViews>
  <mergeCells count="47">
    <mergeCell ref="D19:E19"/>
    <mergeCell ref="D20:E20"/>
    <mergeCell ref="C22:D22"/>
    <mergeCell ref="I148:J148"/>
    <mergeCell ref="I149:J149"/>
    <mergeCell ref="C31:D31"/>
    <mergeCell ref="C39:D39"/>
    <mergeCell ref="C53:D53"/>
    <mergeCell ref="C64:D64"/>
    <mergeCell ref="C71:D71"/>
    <mergeCell ref="I136:J136"/>
    <mergeCell ref="I137:J137"/>
    <mergeCell ref="I138:J138"/>
    <mergeCell ref="C79:D79"/>
    <mergeCell ref="C92:D92"/>
    <mergeCell ref="C103:D103"/>
    <mergeCell ref="N19:O19"/>
    <mergeCell ref="P19:Q19"/>
    <mergeCell ref="F20:G20"/>
    <mergeCell ref="H20:I20"/>
    <mergeCell ref="J20:K20"/>
    <mergeCell ref="L20:M20"/>
    <mergeCell ref="N20:O20"/>
    <mergeCell ref="P20:Q20"/>
    <mergeCell ref="F19:G19"/>
    <mergeCell ref="H19:I19"/>
    <mergeCell ref="J19:K19"/>
    <mergeCell ref="L19:M19"/>
    <mergeCell ref="B14:M14"/>
    <mergeCell ref="B10:M10"/>
    <mergeCell ref="B11:M11"/>
    <mergeCell ref="B13:M13"/>
    <mergeCell ref="B15:M15"/>
    <mergeCell ref="I7:L7"/>
    <mergeCell ref="I1:L1"/>
    <mergeCell ref="I2:L2"/>
    <mergeCell ref="I3:L3"/>
    <mergeCell ref="I5:L5"/>
    <mergeCell ref="I6:L6"/>
    <mergeCell ref="C116:D116"/>
    <mergeCell ref="B131:C131"/>
    <mergeCell ref="I143:J143"/>
    <mergeCell ref="I144:J144"/>
    <mergeCell ref="I139:J139"/>
    <mergeCell ref="I140:J140"/>
    <mergeCell ref="I141:J141"/>
    <mergeCell ref="I142:J142"/>
  </mergeCells>
  <pageMargins left="0.75" right="0.75" top="1" bottom="1" header="0.5" footer="0.5"/>
  <pageSetup paperSize="9" scale="90" orientation="landscape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8"/>
  <sheetViews>
    <sheetView tabSelected="1" topLeftCell="A217" workbookViewId="0">
      <selection activeCell="F25" sqref="F25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2:15" ht="15.75" x14ac:dyDescent="0.25">
      <c r="I1" s="133"/>
      <c r="J1" s="133"/>
      <c r="K1" s="133"/>
      <c r="L1" s="133"/>
      <c r="M1" s="17"/>
      <c r="N1" s="17"/>
    </row>
    <row r="2" spans="2:15" ht="15.75" x14ac:dyDescent="0.25">
      <c r="B2" t="s">
        <v>0</v>
      </c>
      <c r="I2" s="133"/>
      <c r="J2" s="133"/>
      <c r="K2" s="133"/>
      <c r="L2" s="133"/>
      <c r="M2" s="17"/>
      <c r="N2" s="17"/>
      <c r="O2" s="17"/>
    </row>
    <row r="3" spans="2:15" ht="15.75" x14ac:dyDescent="0.25">
      <c r="I3" s="133"/>
      <c r="J3" s="133"/>
      <c r="K3" s="133"/>
      <c r="L3" s="133"/>
      <c r="M3" s="17"/>
      <c r="N3" s="17"/>
      <c r="O3" s="17"/>
    </row>
    <row r="4" spans="2:15" ht="15.75" x14ac:dyDescent="0.25">
      <c r="I4" s="32"/>
      <c r="J4" s="32"/>
      <c r="K4" s="32"/>
      <c r="L4" s="49"/>
      <c r="M4" s="17"/>
      <c r="N4" s="17"/>
      <c r="O4" s="17"/>
    </row>
    <row r="5" spans="2:15" ht="15.75" x14ac:dyDescent="0.25">
      <c r="I5" s="133"/>
      <c r="J5" s="133"/>
      <c r="K5" s="133"/>
      <c r="L5" s="133"/>
      <c r="M5" s="17"/>
      <c r="N5" s="17"/>
      <c r="O5" s="17"/>
    </row>
    <row r="6" spans="2:15" ht="15.75" x14ac:dyDescent="0.25">
      <c r="I6" s="133"/>
      <c r="J6" s="133"/>
      <c r="K6" s="133"/>
      <c r="L6" s="133"/>
      <c r="O6" s="17"/>
    </row>
    <row r="7" spans="2:15" ht="15.75" x14ac:dyDescent="0.25">
      <c r="I7" s="133"/>
      <c r="J7" s="133"/>
      <c r="K7" s="133"/>
      <c r="L7" s="133"/>
    </row>
    <row r="8" spans="2:15" ht="15.75" x14ac:dyDescent="0.25">
      <c r="I8" s="32"/>
      <c r="J8" s="32"/>
      <c r="K8" s="32"/>
    </row>
    <row r="9" spans="2:15" ht="12.75" customHeight="1" x14ac:dyDescent="0.2"/>
    <row r="10" spans="2:15" ht="12.75" customHeight="1" x14ac:dyDescent="0.25"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</row>
    <row r="11" spans="2:15" ht="15.75" x14ac:dyDescent="0.25"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</row>
    <row r="12" spans="2:15" ht="15.75" x14ac:dyDescent="0.25">
      <c r="B12" s="48"/>
      <c r="C12" s="48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2:15" ht="13.5" thickBot="1" x14ac:dyDescent="0.25"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</row>
    <row r="14" spans="2:15" ht="16.5" thickBot="1" x14ac:dyDescent="0.3">
      <c r="B14" s="134" t="s">
        <v>364</v>
      </c>
      <c r="C14" s="135"/>
      <c r="D14" s="135"/>
      <c r="E14" s="135"/>
      <c r="F14" s="135"/>
      <c r="G14" s="135"/>
      <c r="H14" s="135"/>
      <c r="I14" s="135"/>
      <c r="J14" s="135"/>
      <c r="K14" s="135"/>
      <c r="L14" s="135"/>
      <c r="M14" s="136"/>
    </row>
    <row r="15" spans="2:15" x14ac:dyDescent="0.2"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</row>
    <row r="16" spans="2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46" t="s">
        <v>17</v>
      </c>
      <c r="E19" s="146"/>
      <c r="F19" s="146" t="s">
        <v>4</v>
      </c>
      <c r="G19" s="146"/>
      <c r="H19" s="147" t="s">
        <v>5</v>
      </c>
      <c r="I19" s="148"/>
      <c r="J19" s="147" t="s">
        <v>6</v>
      </c>
      <c r="K19" s="148"/>
      <c r="L19" s="139" t="s">
        <v>18</v>
      </c>
      <c r="M19" s="140"/>
      <c r="N19" s="139" t="s">
        <v>19</v>
      </c>
      <c r="O19" s="140"/>
      <c r="P19" s="139" t="s">
        <v>20</v>
      </c>
      <c r="Q19" s="140"/>
    </row>
    <row r="20" spans="1:17" ht="13.5" thickTop="1" x14ac:dyDescent="0.2">
      <c r="A20" s="4">
        <v>1</v>
      </c>
      <c r="B20" s="5">
        <v>2</v>
      </c>
      <c r="C20" s="6">
        <v>3</v>
      </c>
      <c r="D20" s="149">
        <v>4</v>
      </c>
      <c r="E20" s="150"/>
      <c r="F20" s="141">
        <v>5</v>
      </c>
      <c r="G20" s="142"/>
      <c r="H20" s="143">
        <v>6</v>
      </c>
      <c r="I20" s="142"/>
      <c r="J20" s="143">
        <v>7</v>
      </c>
      <c r="K20" s="142"/>
      <c r="L20" s="144">
        <v>8</v>
      </c>
      <c r="M20" s="145"/>
      <c r="N20" s="144">
        <v>9</v>
      </c>
      <c r="O20" s="145"/>
      <c r="P20" s="144">
        <v>10</v>
      </c>
      <c r="Q20" s="145"/>
    </row>
    <row r="21" spans="1:17" ht="12.75" customHeight="1" x14ac:dyDescent="0.2">
      <c r="A21" s="7"/>
      <c r="B21" s="7"/>
      <c r="C21" s="7"/>
      <c r="D21" s="47" t="s">
        <v>7</v>
      </c>
      <c r="E21" s="47" t="s">
        <v>8</v>
      </c>
      <c r="F21" s="47" t="s">
        <v>7</v>
      </c>
      <c r="G21" s="47" t="s">
        <v>8</v>
      </c>
      <c r="H21" s="47" t="s">
        <v>7</v>
      </c>
      <c r="I21" s="47" t="s">
        <v>8</v>
      </c>
      <c r="J21" s="47" t="s">
        <v>7</v>
      </c>
      <c r="K21" s="47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360</v>
      </c>
      <c r="C22" s="155" t="s">
        <v>146</v>
      </c>
      <c r="D22" s="156"/>
      <c r="E22" s="47"/>
      <c r="F22" s="47"/>
      <c r="G22" s="47"/>
      <c r="H22" s="47"/>
      <c r="I22" s="47"/>
      <c r="J22" s="47"/>
      <c r="K22" s="47"/>
      <c r="L22" s="8"/>
      <c r="M22" s="8"/>
      <c r="N22" s="8"/>
      <c r="O22" s="8"/>
      <c r="P22" s="8"/>
      <c r="Q22" s="8"/>
    </row>
    <row r="23" spans="1:17" ht="12" customHeight="1" x14ac:dyDescent="0.2">
      <c r="A23" s="18"/>
      <c r="B23" s="18"/>
      <c r="C23" s="18" t="s">
        <v>306</v>
      </c>
      <c r="D23" s="31">
        <f>'декабрь 2014г. по 6-10'!D23+'декабрь 2014г. по 0,4'!D20</f>
        <v>0</v>
      </c>
      <c r="E23" s="31">
        <f>'декабрь 2014г. по 6-10'!E23+'декабрь 2014г. по 0,4'!E20</f>
        <v>0</v>
      </c>
      <c r="F23" s="31">
        <f>'декабрь 2014г. по 6-10'!F23+'декабрь 2014г. по 0,4'!F20</f>
        <v>0</v>
      </c>
      <c r="G23" s="31">
        <f>'декабрь 2014г. по 6-10'!G23+'декабрь 2014г. по 0,4'!G20</f>
        <v>0</v>
      </c>
      <c r="H23" s="31">
        <f>'декабрь 2014г. по 6-10'!H23+'декабрь 2014г. по 0,4'!H20</f>
        <v>0</v>
      </c>
      <c r="I23" s="31">
        <f>'декабрь 2014г. по 6-10'!I23+'декабрь 2014г. по 0,4'!I20</f>
        <v>0</v>
      </c>
      <c r="J23" s="31">
        <f>'декабрь 2014г. по 6-10'!J23+'декабрь 2014г. по 0,4'!J20</f>
        <v>0</v>
      </c>
      <c r="K23" s="31">
        <f>'декабрь 2014г. по 6-10'!K23+'декабрь 2014г. по 0,4'!K20</f>
        <v>0</v>
      </c>
      <c r="L23" s="31">
        <f>'декабрь 2014г. по 6-10'!L23+'декабрь 2014г. по 0,4'!L20</f>
        <v>0</v>
      </c>
      <c r="M23" s="31">
        <f>'декабрь 2014г. по 6-10'!M23+'декабрь 2014г. по 0,4'!M20</f>
        <v>0</v>
      </c>
      <c r="N23" s="31">
        <f>'декабрь 2014г. по 6-10'!N23+'декабрь 2014г. по 0,4'!N20</f>
        <v>0</v>
      </c>
      <c r="O23" s="31">
        <f>'декабрь 2014г. по 6-10'!O23+'декабрь 2014г. по 0,4'!O20</f>
        <v>0</v>
      </c>
      <c r="P23" s="31">
        <f>'декабрь 2014г. по 6-10'!P23+'декабрь 2014г. по 0,4'!P20</f>
        <v>0</v>
      </c>
      <c r="Q23" s="31">
        <f>'декабрь 2014г. по 6-10'!Q23+'декабрь 2014г. по 0,4'!Q20</f>
        <v>0</v>
      </c>
    </row>
    <row r="24" spans="1:17" ht="12" customHeight="1" x14ac:dyDescent="0.2">
      <c r="A24" s="18"/>
      <c r="B24" s="18"/>
      <c r="C24" s="18" t="s">
        <v>307</v>
      </c>
      <c r="D24" s="31">
        <f>'декабрь 2014г. по 6-10'!D24+'декабрь 2014г. по 0,4'!D21</f>
        <v>34</v>
      </c>
      <c r="E24" s="31">
        <f>'декабрь 2014г. по 6-10'!E24+'декабрь 2014г. по 0,4'!E21</f>
        <v>410</v>
      </c>
      <c r="F24" s="31">
        <f>'декабрь 2014г. по 6-10'!F24+'декабрь 2014г. по 0,4'!F21</f>
        <v>1</v>
      </c>
      <c r="G24" s="31">
        <f>'декабрь 2014г. по 6-10'!G24+'декабрь 2014г. по 0,4'!G21</f>
        <v>100</v>
      </c>
      <c r="H24" s="31">
        <f>'декабрь 2014г. по 6-10'!H24+'декабрь 2014г. по 0,4'!H21</f>
        <v>0</v>
      </c>
      <c r="I24" s="31">
        <f>'декабрь 2014г. по 6-10'!I24+'декабрь 2014г. по 0,4'!I21</f>
        <v>0</v>
      </c>
      <c r="J24" s="31">
        <f>'декабрь 2014г. по 6-10'!J24+'декабрь 2014г. по 0,4'!J21</f>
        <v>30</v>
      </c>
      <c r="K24" s="31">
        <f>'декабрь 2014г. по 6-10'!K24+'декабрь 2014г. по 0,4'!K21</f>
        <v>300</v>
      </c>
      <c r="L24" s="31">
        <f>'декабрь 2014г. по 6-10'!L24+'декабрь 2014г. по 0,4'!L21</f>
        <v>0</v>
      </c>
      <c r="M24" s="31">
        <f>'декабрь 2014г. по 6-10'!M24+'декабрь 2014г. по 0,4'!M21</f>
        <v>0</v>
      </c>
      <c r="N24" s="31">
        <f>'декабрь 2014г. по 6-10'!N24+'декабрь 2014г. по 0,4'!N21</f>
        <v>0</v>
      </c>
      <c r="O24" s="31">
        <f>'декабрь 2014г. по 6-10'!O24+'декабрь 2014г. по 0,4'!O21</f>
        <v>0</v>
      </c>
      <c r="P24" s="31">
        <f>'декабрь 2014г. по 6-10'!P24+'декабрь 2014г. по 0,4'!P21</f>
        <v>0</v>
      </c>
      <c r="Q24" s="31">
        <f>'декабрь 2014г. по 6-10'!Q24+'декабрь 2014г. по 0,4'!Q21</f>
        <v>0</v>
      </c>
    </row>
    <row r="25" spans="1:17" ht="11.25" customHeight="1" x14ac:dyDescent="0.2">
      <c r="A25" s="18"/>
      <c r="B25" s="18"/>
      <c r="C25" s="18" t="s">
        <v>308</v>
      </c>
      <c r="D25" s="31">
        <f>'декабрь 2014г. по 6-10'!D25+'декабрь 2014г. по 0,4'!D22</f>
        <v>32</v>
      </c>
      <c r="E25" s="31">
        <f>'декабрь 2014г. по 6-10'!E25+'декабрь 2014г. по 0,4'!E22</f>
        <v>250</v>
      </c>
      <c r="F25" s="31">
        <f>'декабрь 2014г. по 6-10'!F25+'декабрь 2014г. по 0,4'!F22</f>
        <v>0</v>
      </c>
      <c r="G25" s="31">
        <f>'декабрь 2014г. по 6-10'!G25+'декабрь 2014г. по 0,4'!G22</f>
        <v>0</v>
      </c>
      <c r="H25" s="31">
        <f>'декабрь 2014г. по 6-10'!H25+'декабрь 2014г. по 0,4'!H22</f>
        <v>0</v>
      </c>
      <c r="I25" s="31">
        <f>'декабрь 2014г. по 6-10'!I25+'декабрь 2014г. по 0,4'!I22</f>
        <v>0</v>
      </c>
      <c r="J25" s="31">
        <f>'декабрь 2014г. по 6-10'!J25+'декабрь 2014г. по 0,4'!J22</f>
        <v>20</v>
      </c>
      <c r="K25" s="31">
        <f>'декабрь 2014г. по 6-10'!K25+'декабрь 2014г. по 0,4'!K22</f>
        <v>160</v>
      </c>
      <c r="L25" s="31">
        <f>'декабрь 2014г. по 6-10'!L25+'декабрь 2014г. по 0,4'!L22</f>
        <v>0</v>
      </c>
      <c r="M25" s="31">
        <f>'декабрь 2014г. по 6-10'!M25+'декабрь 2014г. по 0,4'!M22</f>
        <v>0</v>
      </c>
      <c r="N25" s="31">
        <f>'декабрь 2014г. по 6-10'!N25+'декабрь 2014г. по 0,4'!N22</f>
        <v>0</v>
      </c>
      <c r="O25" s="31">
        <f>'декабрь 2014г. по 6-10'!O25+'декабрь 2014г. по 0,4'!O22</f>
        <v>0</v>
      </c>
      <c r="P25" s="31">
        <f>'декабрь 2014г. по 6-10'!P25+'декабрь 2014г. по 0,4'!P22</f>
        <v>0</v>
      </c>
      <c r="Q25" s="31">
        <f>'декабрь 2014г. по 6-10'!Q25+'декабрь 2014г. по 0,4'!Q22</f>
        <v>0</v>
      </c>
    </row>
    <row r="26" spans="1:17" ht="11.25" customHeight="1" x14ac:dyDescent="0.2">
      <c r="A26" s="18"/>
      <c r="B26" s="18"/>
      <c r="C26" s="18" t="s">
        <v>309</v>
      </c>
      <c r="D26" s="31">
        <f>'декабрь 2014г. по 6-10'!D26+'декабрь 2014г. по 0,4'!D23</f>
        <v>41</v>
      </c>
      <c r="E26" s="31">
        <f>'декабрь 2014г. по 6-10'!E26+'декабрь 2014г. по 0,4'!E23</f>
        <v>3600</v>
      </c>
      <c r="F26" s="31">
        <f>'декабрь 2014г. по 6-10'!F26+'декабрь 2014г. по 0,4'!F23</f>
        <v>9</v>
      </c>
      <c r="G26" s="31">
        <f>'декабрь 2014г. по 6-10'!G26+'декабрь 2014г. по 0,4'!G23</f>
        <v>845</v>
      </c>
      <c r="H26" s="31">
        <f>'декабрь 2014г. по 6-10'!H26+'декабрь 2014г. по 0,4'!H23</f>
        <v>0</v>
      </c>
      <c r="I26" s="31">
        <f>'декабрь 2014г. по 6-10'!I26+'декабрь 2014г. по 0,4'!I23</f>
        <v>0</v>
      </c>
      <c r="J26" s="31">
        <f>'декабрь 2014г. по 6-10'!J26+'декабрь 2014г. по 0,4'!J23</f>
        <v>26</v>
      </c>
      <c r="K26" s="31">
        <f>'декабрь 2014г. по 6-10'!K26+'декабрь 2014г. по 0,4'!K23</f>
        <v>540</v>
      </c>
      <c r="L26" s="31">
        <f>'декабрь 2014г. по 6-10'!L26+'декабрь 2014г. по 0,4'!L23</f>
        <v>0</v>
      </c>
      <c r="M26" s="31">
        <f>'декабрь 2014г. по 6-10'!M26+'декабрь 2014г. по 0,4'!M23</f>
        <v>0</v>
      </c>
      <c r="N26" s="31">
        <f>'декабрь 2014г. по 6-10'!N26+'декабрь 2014г. по 0,4'!N23</f>
        <v>0</v>
      </c>
      <c r="O26" s="31">
        <f>'декабрь 2014г. по 6-10'!O26+'декабрь 2014г. по 0,4'!O23</f>
        <v>0</v>
      </c>
      <c r="P26" s="31">
        <f>'декабрь 2014г. по 6-10'!P26+'декабрь 2014г. по 0,4'!P23</f>
        <v>0</v>
      </c>
      <c r="Q26" s="31">
        <f>'декабрь 2014г. по 6-10'!Q26+'декабрь 2014г. по 0,4'!Q23</f>
        <v>0</v>
      </c>
    </row>
    <row r="27" spans="1:17" ht="12.75" customHeight="1" x14ac:dyDescent="0.2">
      <c r="A27" s="18"/>
      <c r="B27" s="18"/>
      <c r="C27" s="18" t="s">
        <v>310</v>
      </c>
      <c r="D27" s="31">
        <f>'декабрь 2014г. по 6-10'!D27+'декабрь 2014г. по 0,4'!D24</f>
        <v>8</v>
      </c>
      <c r="E27" s="31">
        <f>'декабрь 2014г. по 6-10'!E27+'декабрь 2014г. по 0,4'!E24</f>
        <v>90</v>
      </c>
      <c r="F27" s="31">
        <f>'декабрь 2014г. по 6-10'!F27+'декабрь 2014г. по 0,4'!F24</f>
        <v>2</v>
      </c>
      <c r="G27" s="31">
        <f>'декабрь 2014г. по 6-10'!G27+'декабрь 2014г. по 0,4'!G24</f>
        <v>30</v>
      </c>
      <c r="H27" s="31">
        <f>'декабрь 2014г. по 6-10'!H27+'декабрь 2014г. по 0,4'!H24</f>
        <v>0</v>
      </c>
      <c r="I27" s="31">
        <f>'декабрь 2014г. по 6-10'!I27+'декабрь 2014г. по 0,4'!I24</f>
        <v>0</v>
      </c>
      <c r="J27" s="31">
        <f>'декабрь 2014г. по 6-10'!J27+'декабрь 2014г. по 0,4'!J24</f>
        <v>5</v>
      </c>
      <c r="K27" s="31">
        <f>'декабрь 2014г. по 6-10'!K27+'декабрь 2014г. по 0,4'!K24</f>
        <v>20</v>
      </c>
      <c r="L27" s="31">
        <f>'декабрь 2014г. по 6-10'!L27+'декабрь 2014г. по 0,4'!L24</f>
        <v>0</v>
      </c>
      <c r="M27" s="31">
        <f>'декабрь 2014г. по 6-10'!M27+'декабрь 2014г. по 0,4'!M24</f>
        <v>0</v>
      </c>
      <c r="N27" s="31">
        <f>'декабрь 2014г. по 6-10'!N27+'декабрь 2014г. по 0,4'!N24</f>
        <v>0</v>
      </c>
      <c r="O27" s="31">
        <f>'декабрь 2014г. по 6-10'!O27+'декабрь 2014г. по 0,4'!O24</f>
        <v>0</v>
      </c>
      <c r="P27" s="31">
        <f>'декабрь 2014г. по 6-10'!P27+'декабрь 2014г. по 0,4'!P24</f>
        <v>0</v>
      </c>
      <c r="Q27" s="31">
        <f>'декабрь 2014г. по 6-10'!Q27+'декабрь 2014г. по 0,4'!Q24</f>
        <v>0</v>
      </c>
    </row>
    <row r="28" spans="1:17" ht="11.25" customHeight="1" x14ac:dyDescent="0.2">
      <c r="A28" s="18"/>
      <c r="B28" s="18"/>
      <c r="C28" s="18" t="s">
        <v>311</v>
      </c>
      <c r="D28" s="31">
        <f>'декабрь 2014г. по 6-10'!D28+'декабрь 2014г. по 0,4'!D25</f>
        <v>9</v>
      </c>
      <c r="E28" s="31">
        <f>'декабрь 2014г. по 6-10'!E28+'декабрь 2014г. по 0,4'!E25</f>
        <v>694</v>
      </c>
      <c r="F28" s="31">
        <f>'декабрь 2014г. по 6-10'!F28+'декабрь 2014г. по 0,4'!F25</f>
        <v>6</v>
      </c>
      <c r="G28" s="31">
        <f>'декабрь 2014г. по 6-10'!G28+'декабрь 2014г. по 0,4'!G25</f>
        <v>494</v>
      </c>
      <c r="H28" s="31">
        <f>'декабрь 2014г. по 6-10'!H28+'декабрь 2014г. по 0,4'!H25</f>
        <v>0</v>
      </c>
      <c r="I28" s="31">
        <f>'декабрь 2014г. по 6-10'!I28+'декабрь 2014г. по 0,4'!I25</f>
        <v>0</v>
      </c>
      <c r="J28" s="31">
        <f>'декабрь 2014г. по 6-10'!J28+'декабрь 2014г. по 0,4'!J25</f>
        <v>8</v>
      </c>
      <c r="K28" s="31">
        <f>'декабрь 2014г. по 6-10'!K28+'декабрь 2014г. по 0,4'!K25</f>
        <v>334</v>
      </c>
      <c r="L28" s="31">
        <f>'декабрь 2014г. по 6-10'!L28+'декабрь 2014г. по 0,4'!L25</f>
        <v>0</v>
      </c>
      <c r="M28" s="31">
        <f>'декабрь 2014г. по 6-10'!M28+'декабрь 2014г. по 0,4'!M25</f>
        <v>0</v>
      </c>
      <c r="N28" s="31">
        <f>'декабрь 2014г. по 6-10'!N28+'декабрь 2014г. по 0,4'!N25</f>
        <v>0</v>
      </c>
      <c r="O28" s="31">
        <f>'декабрь 2014г. по 6-10'!O28+'декабрь 2014г. по 0,4'!O25</f>
        <v>0</v>
      </c>
      <c r="P28" s="31">
        <f>'декабрь 2014г. по 6-10'!P28+'декабрь 2014г. по 0,4'!P25</f>
        <v>0</v>
      </c>
      <c r="Q28" s="31">
        <f>'декабрь 2014г. по 6-10'!Q28+'декабрь 2014г. по 0,4'!Q25</f>
        <v>0</v>
      </c>
    </row>
    <row r="29" spans="1:17" ht="16.5" customHeight="1" x14ac:dyDescent="0.2">
      <c r="A29" s="18"/>
      <c r="B29" s="18"/>
      <c r="C29" s="18" t="s">
        <v>312</v>
      </c>
      <c r="D29" s="31">
        <f>'декабрь 2014г. по 6-10'!D29+'декабрь 2014г. по 0,4'!D26</f>
        <v>7</v>
      </c>
      <c r="E29" s="31">
        <f>'декабрь 2014г. по 6-10'!E29+'декабрь 2014г. по 0,4'!E26</f>
        <v>140</v>
      </c>
      <c r="F29" s="31">
        <f>'декабрь 2014г. по 6-10'!F29+'декабрь 2014г. по 0,4'!F26</f>
        <v>7</v>
      </c>
      <c r="G29" s="31">
        <f>'декабрь 2014г. по 6-10'!G29+'декабрь 2014г. по 0,4'!G26</f>
        <v>140</v>
      </c>
      <c r="H29" s="31">
        <f>'декабрь 2014г. по 6-10'!H29+'декабрь 2014г. по 0,4'!H26</f>
        <v>0</v>
      </c>
      <c r="I29" s="31">
        <f>'декабрь 2014г. по 6-10'!I29+'декабрь 2014г. по 0,4'!I26</f>
        <v>0</v>
      </c>
      <c r="J29" s="31">
        <f>'декабрь 2014г. по 6-10'!J29+'декабрь 2014г. по 0,4'!J26</f>
        <v>5</v>
      </c>
      <c r="K29" s="31">
        <f>'декабрь 2014г. по 6-10'!K29+'декабрь 2014г. по 0,4'!K26</f>
        <v>20</v>
      </c>
      <c r="L29" s="31">
        <f>'декабрь 2014г. по 6-10'!L29+'декабрь 2014г. по 0,4'!L26</f>
        <v>0</v>
      </c>
      <c r="M29" s="31">
        <f>'декабрь 2014г. по 6-10'!M29+'декабрь 2014г. по 0,4'!M26</f>
        <v>0</v>
      </c>
      <c r="N29" s="31">
        <f>'декабрь 2014г. по 6-10'!N29+'декабрь 2014г. по 0,4'!N26</f>
        <v>0</v>
      </c>
      <c r="O29" s="31">
        <f>'декабрь 2014г. по 6-10'!O29+'декабрь 2014г. по 0,4'!O26</f>
        <v>0</v>
      </c>
      <c r="P29" s="31">
        <f>'декабрь 2014г. по 6-10'!P29+'декабрь 2014г. по 0,4'!P26</f>
        <v>0</v>
      </c>
      <c r="Q29" s="31">
        <f>'декабрь 2014г. по 6-10'!Q29+'декабрь 2014г. по 0,4'!Q26</f>
        <v>0</v>
      </c>
    </row>
    <row r="30" spans="1:17" ht="12" customHeight="1" x14ac:dyDescent="0.2">
      <c r="A30" s="18"/>
      <c r="B30" s="18"/>
      <c r="C30" s="18" t="s">
        <v>313</v>
      </c>
      <c r="D30" s="31">
        <f>'декабрь 2014г. по 6-10'!D30+'декабрь 2014г. по 0,4'!D27</f>
        <v>46</v>
      </c>
      <c r="E30" s="31">
        <f>'декабрь 2014г. по 6-10'!E30+'декабрь 2014г. по 0,4'!E27</f>
        <v>1885</v>
      </c>
      <c r="F30" s="31">
        <f>'декабрь 2014г. по 6-10'!F30+'декабрь 2014г. по 0,4'!F27</f>
        <v>44</v>
      </c>
      <c r="G30" s="31">
        <f>'декабрь 2014г. по 6-10'!G30+'декабрь 2014г. по 0,4'!G27</f>
        <v>564.4</v>
      </c>
      <c r="H30" s="31">
        <f>'декабрь 2014г. по 6-10'!H30+'декабрь 2014г. по 0,4'!H27</f>
        <v>0</v>
      </c>
      <c r="I30" s="31">
        <f>'декабрь 2014г. по 6-10'!I30+'декабрь 2014г. по 0,4'!I27</f>
        <v>0</v>
      </c>
      <c r="J30" s="31">
        <f>'декабрь 2014г. по 6-10'!J30+'декабрь 2014г. по 0,4'!J27</f>
        <v>47</v>
      </c>
      <c r="K30" s="31">
        <f>'декабрь 2014г. по 6-10'!K30+'декабрь 2014г. по 0,4'!K27</f>
        <v>735</v>
      </c>
      <c r="L30" s="31">
        <f>'декабрь 2014г. по 6-10'!L30+'декабрь 2014г. по 0,4'!L27</f>
        <v>0</v>
      </c>
      <c r="M30" s="31">
        <f>'декабрь 2014г. по 6-10'!M30+'декабрь 2014г. по 0,4'!M27</f>
        <v>0</v>
      </c>
      <c r="N30" s="31">
        <f>'декабрь 2014г. по 6-10'!N30+'декабрь 2014г. по 0,4'!N27</f>
        <v>0</v>
      </c>
      <c r="O30" s="31">
        <f>'декабрь 2014г. по 6-10'!O30+'декабрь 2014г. по 0,4'!O27</f>
        <v>0</v>
      </c>
      <c r="P30" s="31">
        <f>'декабрь 2014г. по 6-10'!P30+'декабрь 2014г. по 0,4'!P27</f>
        <v>0</v>
      </c>
      <c r="Q30" s="31">
        <f>'декабрь 2014г. по 6-10'!Q30+'декабрь 2014г. по 0,4'!Q27</f>
        <v>0</v>
      </c>
    </row>
    <row r="31" spans="1:17" ht="12.75" customHeight="1" x14ac:dyDescent="0.2">
      <c r="A31" s="18"/>
      <c r="B31" s="18"/>
      <c r="C31" s="18" t="s">
        <v>314</v>
      </c>
      <c r="D31" s="31">
        <f>'декабрь 2014г. по 6-10'!D31+'декабрь 2014г. по 0,4'!D28</f>
        <v>57</v>
      </c>
      <c r="E31" s="31">
        <f>'декабрь 2014г. по 6-10'!E31+'декабрь 2014г. по 0,4'!E28</f>
        <v>1010</v>
      </c>
      <c r="F31" s="31">
        <f>'декабрь 2014г. по 6-10'!F31+'декабрь 2014г. по 0,4'!F28</f>
        <v>57</v>
      </c>
      <c r="G31" s="31">
        <f>'декабрь 2014г. по 6-10'!G31+'декабрь 2014г. по 0,4'!G28</f>
        <v>1010</v>
      </c>
      <c r="H31" s="31">
        <f>'декабрь 2014г. по 6-10'!H31+'декабрь 2014г. по 0,4'!H28</f>
        <v>0</v>
      </c>
      <c r="I31" s="31">
        <f>'декабрь 2014г. по 6-10'!I31+'декабрь 2014г. по 0,4'!I28</f>
        <v>0</v>
      </c>
      <c r="J31" s="31">
        <f>'декабрь 2014г. по 6-10'!J31+'декабрь 2014г. по 0,4'!J28</f>
        <v>39</v>
      </c>
      <c r="K31" s="31">
        <f>'декабрь 2014г. по 6-10'!K31+'декабрь 2014г. по 0,4'!K28</f>
        <v>417</v>
      </c>
      <c r="L31" s="31">
        <f>'декабрь 2014г. по 6-10'!L31+'декабрь 2014г. по 0,4'!L28</f>
        <v>0</v>
      </c>
      <c r="M31" s="31">
        <f>'декабрь 2014г. по 6-10'!M31+'декабрь 2014г. по 0,4'!M28</f>
        <v>0</v>
      </c>
      <c r="N31" s="31">
        <f>'декабрь 2014г. по 6-10'!N31+'декабрь 2014г. по 0,4'!N28</f>
        <v>0</v>
      </c>
      <c r="O31" s="31">
        <f>'декабрь 2014г. по 6-10'!O31+'декабрь 2014г. по 0,4'!O28</f>
        <v>0</v>
      </c>
      <c r="P31" s="31">
        <f>'декабрь 2014г. по 6-10'!P31+'декабрь 2014г. по 0,4'!P28</f>
        <v>0</v>
      </c>
      <c r="Q31" s="31">
        <f>'декабрь 2014г. по 6-10'!Q31+'декабрь 2014г. по 0,4'!Q28</f>
        <v>0</v>
      </c>
    </row>
    <row r="32" spans="1:17" ht="12.75" customHeight="1" x14ac:dyDescent="0.2">
      <c r="A32" s="18"/>
      <c r="B32" s="18"/>
      <c r="C32" s="18" t="s">
        <v>315</v>
      </c>
      <c r="D32" s="31">
        <f>'декабрь 2014г. по 6-10'!D32+'декабрь 2014г. по 0,4'!D29</f>
        <v>75</v>
      </c>
      <c r="E32" s="31">
        <f>'декабрь 2014г. по 6-10'!E32+'декабрь 2014г. по 0,4'!E29</f>
        <v>1909</v>
      </c>
      <c r="F32" s="31">
        <f>'декабрь 2014г. по 6-10'!F32+'декабрь 2014г. по 0,4'!F29</f>
        <v>51</v>
      </c>
      <c r="G32" s="31">
        <f>'декабрь 2014г. по 6-10'!G32+'декабрь 2014г. по 0,4'!G29</f>
        <v>1349</v>
      </c>
      <c r="H32" s="31">
        <f>'декабрь 2014г. по 6-10'!H32+'декабрь 2014г. по 0,4'!H29</f>
        <v>0</v>
      </c>
      <c r="I32" s="31">
        <f>'декабрь 2014г. по 6-10'!I32+'декабрь 2014г. по 0,4'!I29</f>
        <v>0</v>
      </c>
      <c r="J32" s="31">
        <f>'декабрь 2014г. по 6-10'!J32+'декабрь 2014г. по 0,4'!J29</f>
        <v>46</v>
      </c>
      <c r="K32" s="31">
        <f>'декабрь 2014г. по 6-10'!K32+'декабрь 2014г. по 0,4'!K29</f>
        <v>730</v>
      </c>
      <c r="L32" s="31">
        <f>'декабрь 2014г. по 6-10'!L32+'декабрь 2014г. по 0,4'!L29</f>
        <v>0</v>
      </c>
      <c r="M32" s="31">
        <f>'декабрь 2014г. по 6-10'!M32+'декабрь 2014г. по 0,4'!M29</f>
        <v>0</v>
      </c>
      <c r="N32" s="31">
        <f>'декабрь 2014г. по 6-10'!N32+'декабрь 2014г. по 0,4'!N29</f>
        <v>0</v>
      </c>
      <c r="O32" s="31">
        <f>'декабрь 2014г. по 6-10'!O32+'декабрь 2014г. по 0,4'!O29</f>
        <v>0</v>
      </c>
      <c r="P32" s="31">
        <f>'декабрь 2014г. по 6-10'!P32+'декабрь 2014г. по 0,4'!P29</f>
        <v>0</v>
      </c>
      <c r="Q32" s="31">
        <f>'декабрь 2014г. по 6-10'!Q32+'декабрь 2014г. по 0,4'!Q29</f>
        <v>0</v>
      </c>
    </row>
    <row r="33" spans="1:17" ht="12.75" customHeight="1" x14ac:dyDescent="0.2">
      <c r="A33" s="18"/>
      <c r="B33" s="18"/>
      <c r="C33" s="18" t="s">
        <v>316</v>
      </c>
      <c r="D33" s="31">
        <f>'декабрь 2014г. по 6-10'!D33+'декабрь 2014г. по 0,4'!D30</f>
        <v>33</v>
      </c>
      <c r="E33" s="31">
        <f>'декабрь 2014г. по 6-10'!E33+'декабрь 2014г. по 0,4'!E30</f>
        <v>1243</v>
      </c>
      <c r="F33" s="31">
        <f>'декабрь 2014г. по 6-10'!F33+'декабрь 2014г. по 0,4'!F30</f>
        <v>31</v>
      </c>
      <c r="G33" s="31">
        <f>'декабрь 2014г. по 6-10'!G33+'декабрь 2014г. по 0,4'!G30</f>
        <v>1189</v>
      </c>
      <c r="H33" s="31">
        <f>'декабрь 2014г. по 6-10'!H33+'декабрь 2014г. по 0,4'!H30</f>
        <v>0</v>
      </c>
      <c r="I33" s="31">
        <f>'декабрь 2014г. по 6-10'!I33+'декабрь 2014г. по 0,4'!I30</f>
        <v>0</v>
      </c>
      <c r="J33" s="31">
        <f>'декабрь 2014г. по 6-10'!J33+'декабрь 2014г. по 0,4'!J30</f>
        <v>30</v>
      </c>
      <c r="K33" s="31">
        <f>'декабрь 2014г. по 6-10'!K33+'декабрь 2014г. по 0,4'!K30</f>
        <v>540</v>
      </c>
      <c r="L33" s="31">
        <f>'декабрь 2014г. по 6-10'!L33+'декабрь 2014г. по 0,4'!L30</f>
        <v>0</v>
      </c>
      <c r="M33" s="31">
        <f>'декабрь 2014г. по 6-10'!M33+'декабрь 2014г. по 0,4'!M30</f>
        <v>0</v>
      </c>
      <c r="N33" s="31">
        <f>'декабрь 2014г. по 6-10'!N33+'декабрь 2014г. по 0,4'!N30</f>
        <v>0</v>
      </c>
      <c r="O33" s="31">
        <f>'декабрь 2014г. по 6-10'!O33+'декабрь 2014г. по 0,4'!O30</f>
        <v>0</v>
      </c>
      <c r="P33" s="31">
        <f>'декабрь 2014г. по 6-10'!P33+'декабрь 2014г. по 0,4'!P30</f>
        <v>0</v>
      </c>
      <c r="Q33" s="31">
        <f>'декабрь 2014г. по 6-10'!Q33+'декабрь 2014г. по 0,4'!Q30</f>
        <v>0</v>
      </c>
    </row>
    <row r="34" spans="1:17" ht="12.75" customHeight="1" x14ac:dyDescent="0.2">
      <c r="A34" s="18"/>
      <c r="B34" s="18"/>
      <c r="C34" s="18" t="s">
        <v>317</v>
      </c>
      <c r="D34" s="31">
        <f>'декабрь 2014г. по 6-10'!D34+'декабрь 2014г. по 0,4'!D31</f>
        <v>59</v>
      </c>
      <c r="E34" s="31">
        <f>'декабрь 2014г. по 6-10'!E34+'декабрь 2014г. по 0,4'!E31</f>
        <v>791</v>
      </c>
      <c r="F34" s="31">
        <f>'декабрь 2014г. по 6-10'!F34+'декабрь 2014г. по 0,4'!F31</f>
        <v>36</v>
      </c>
      <c r="G34" s="31">
        <f>'декабрь 2014г. по 6-10'!G34+'декабрь 2014г. по 0,4'!G31</f>
        <v>596</v>
      </c>
      <c r="H34" s="31">
        <f>'декабрь 2014г. по 6-10'!H34+'декабрь 2014г. по 0,4'!H31</f>
        <v>0</v>
      </c>
      <c r="I34" s="31">
        <f>'декабрь 2014г. по 6-10'!I34+'декабрь 2014г. по 0,4'!I31</f>
        <v>0</v>
      </c>
      <c r="J34" s="31">
        <f>'декабрь 2014г. по 6-10'!J34+'декабрь 2014г. по 0,4'!J31</f>
        <v>44</v>
      </c>
      <c r="K34" s="31">
        <f>'декабрь 2014г. по 6-10'!K34+'декабрь 2014г. по 0,4'!K31</f>
        <v>455</v>
      </c>
      <c r="L34" s="31">
        <f>'декабрь 2014г. по 6-10'!L34+'декабрь 2014г. по 0,4'!L31</f>
        <v>0</v>
      </c>
      <c r="M34" s="31">
        <f>'декабрь 2014г. по 6-10'!M34+'декабрь 2014г. по 0,4'!M31</f>
        <v>0</v>
      </c>
      <c r="N34" s="31">
        <f>'декабрь 2014г. по 6-10'!N34+'декабрь 2014г. по 0,4'!N31</f>
        <v>0</v>
      </c>
      <c r="O34" s="31">
        <f>'декабрь 2014г. по 6-10'!O34+'декабрь 2014г. по 0,4'!O31</f>
        <v>0</v>
      </c>
      <c r="P34" s="31">
        <f>'декабрь 2014г. по 6-10'!P34+'декабрь 2014г. по 0,4'!P31</f>
        <v>0</v>
      </c>
      <c r="Q34" s="31">
        <f>'декабрь 2014г. по 6-10'!Q34+'декабрь 2014г. по 0,4'!Q31</f>
        <v>0</v>
      </c>
    </row>
    <row r="35" spans="1:17" ht="12.75" customHeight="1" x14ac:dyDescent="0.2">
      <c r="A35" s="18"/>
      <c r="B35" s="18"/>
      <c r="C35" s="18" t="s">
        <v>318</v>
      </c>
      <c r="D35" s="31">
        <f>'декабрь 2014г. по 6-10'!D35+'декабрь 2014г. по 0,4'!D32</f>
        <v>71</v>
      </c>
      <c r="E35" s="31">
        <f>'декабрь 2014г. по 6-10'!E35+'декабрь 2014г. по 0,4'!E32</f>
        <v>1680</v>
      </c>
      <c r="F35" s="31">
        <f>'декабрь 2014г. по 6-10'!F35+'декабрь 2014г. по 0,4'!F32</f>
        <v>35</v>
      </c>
      <c r="G35" s="31">
        <f>'декабрь 2014г. по 6-10'!G35+'декабрь 2014г. по 0,4'!G32</f>
        <v>1067</v>
      </c>
      <c r="H35" s="31">
        <f>'декабрь 2014г. по 6-10'!H35+'декабрь 2014г. по 0,4'!H32</f>
        <v>0</v>
      </c>
      <c r="I35" s="31">
        <f>'декабрь 2014г. по 6-10'!I35+'декабрь 2014г. по 0,4'!I32</f>
        <v>0</v>
      </c>
      <c r="J35" s="31">
        <f>'декабрь 2014г. по 6-10'!J35+'декабрь 2014г. по 0,4'!J32</f>
        <v>57</v>
      </c>
      <c r="K35" s="31">
        <f>'декабрь 2014г. по 6-10'!K35+'декабрь 2014г. по 0,4'!K32</f>
        <v>945</v>
      </c>
      <c r="L35" s="31">
        <f>'декабрь 2014г. по 6-10'!L35+'декабрь 2014г. по 0,4'!L32</f>
        <v>0</v>
      </c>
      <c r="M35" s="31">
        <f>'декабрь 2014г. по 6-10'!M35+'декабрь 2014г. по 0,4'!M32</f>
        <v>0</v>
      </c>
      <c r="N35" s="31">
        <f>'декабрь 2014г. по 6-10'!N35+'декабрь 2014г. по 0,4'!N32</f>
        <v>0</v>
      </c>
      <c r="O35" s="31">
        <f>'декабрь 2014г. по 6-10'!O35+'декабрь 2014г. по 0,4'!O32</f>
        <v>0</v>
      </c>
      <c r="P35" s="31">
        <f>'декабрь 2014г. по 6-10'!P35+'декабрь 2014г. по 0,4'!P32</f>
        <v>0</v>
      </c>
      <c r="Q35" s="31">
        <f>'декабрь 2014г. по 6-10'!Q35+'декабрь 2014г. по 0,4'!Q32</f>
        <v>0</v>
      </c>
    </row>
    <row r="36" spans="1:17" ht="12.75" customHeight="1" x14ac:dyDescent="0.2">
      <c r="A36" s="18"/>
      <c r="B36" s="18"/>
      <c r="C36" s="18" t="s">
        <v>319</v>
      </c>
      <c r="D36" s="31">
        <f>'декабрь 2014г. по 6-10'!D36+'декабрь 2014г. по 0,4'!D33</f>
        <v>90</v>
      </c>
      <c r="E36" s="31">
        <f>'декабрь 2014г. по 6-10'!E36+'декабрь 2014г. по 0,4'!E33</f>
        <v>3682</v>
      </c>
      <c r="F36" s="31">
        <f>'декабрь 2014г. по 6-10'!F36+'декабрь 2014г. по 0,4'!F33</f>
        <v>90</v>
      </c>
      <c r="G36" s="31">
        <f>'декабрь 2014г. по 6-10'!G36+'декабрь 2014г. по 0,4'!G33</f>
        <v>2982</v>
      </c>
      <c r="H36" s="31">
        <f>'декабрь 2014г. по 6-10'!H36+'декабрь 2014г. по 0,4'!H33</f>
        <v>0</v>
      </c>
      <c r="I36" s="31">
        <f>'декабрь 2014г. по 6-10'!I36+'декабрь 2014г. по 0,4'!I33</f>
        <v>0</v>
      </c>
      <c r="J36" s="31">
        <f>'декабрь 2014г. по 6-10'!J36+'декабрь 2014г. по 0,4'!J33</f>
        <v>75</v>
      </c>
      <c r="K36" s="31">
        <f>'декабрь 2014г. по 6-10'!K36+'декабрь 2014г. по 0,4'!K33</f>
        <v>510</v>
      </c>
      <c r="L36" s="31">
        <f>'декабрь 2014г. по 6-10'!L36+'декабрь 2014г. по 0,4'!L33</f>
        <v>0</v>
      </c>
      <c r="M36" s="31">
        <f>'декабрь 2014г. по 6-10'!M36+'декабрь 2014г. по 0,4'!M33</f>
        <v>0</v>
      </c>
      <c r="N36" s="31">
        <f>'декабрь 2014г. по 6-10'!N36+'декабрь 2014г. по 0,4'!N33</f>
        <v>0</v>
      </c>
      <c r="O36" s="31">
        <f>'декабрь 2014г. по 6-10'!O36+'декабрь 2014г. по 0,4'!O33</f>
        <v>0</v>
      </c>
      <c r="P36" s="31">
        <f>'декабрь 2014г. по 6-10'!P36+'декабрь 2014г. по 0,4'!P33</f>
        <v>0</v>
      </c>
      <c r="Q36" s="31">
        <f>'декабрь 2014г. по 6-10'!Q36+'декабрь 2014г. по 0,4'!Q33</f>
        <v>0</v>
      </c>
    </row>
    <row r="37" spans="1:17" ht="12.75" customHeight="1" x14ac:dyDescent="0.2">
      <c r="A37" s="18"/>
      <c r="B37" s="18"/>
      <c r="C37" s="18" t="s">
        <v>320</v>
      </c>
      <c r="D37" s="31">
        <f>'декабрь 2014г. по 6-10'!D37+'декабрь 2014г. по 0,4'!D34</f>
        <v>31</v>
      </c>
      <c r="E37" s="31">
        <f>'декабрь 2014г. по 6-10'!E37+'декабрь 2014г. по 0,4'!E34</f>
        <v>1210</v>
      </c>
      <c r="F37" s="31">
        <f>'декабрь 2014г. по 6-10'!F37+'декабрь 2014г. по 0,4'!F34</f>
        <v>30</v>
      </c>
      <c r="G37" s="31">
        <f>'декабрь 2014г. по 6-10'!G37+'декабрь 2014г. по 0,4'!G34</f>
        <v>290</v>
      </c>
      <c r="H37" s="31">
        <f>'декабрь 2014г. по 6-10'!H37+'декабрь 2014г. по 0,4'!H34</f>
        <v>0</v>
      </c>
      <c r="I37" s="31">
        <f>'декабрь 2014г. по 6-10'!I37+'декабрь 2014г. по 0,4'!I34</f>
        <v>0</v>
      </c>
      <c r="J37" s="31">
        <f>'декабрь 2014г. по 6-10'!J37+'декабрь 2014г. по 0,4'!J34</f>
        <v>22</v>
      </c>
      <c r="K37" s="31">
        <f>'декабрь 2014г. по 6-10'!K37+'декабрь 2014г. по 0,4'!K34</f>
        <v>150</v>
      </c>
      <c r="L37" s="31">
        <f>'декабрь 2014г. по 6-10'!L37+'декабрь 2014г. по 0,4'!L34</f>
        <v>0</v>
      </c>
      <c r="M37" s="31">
        <f>'декабрь 2014г. по 6-10'!M37+'декабрь 2014г. по 0,4'!M34</f>
        <v>0</v>
      </c>
      <c r="N37" s="31">
        <f>'декабрь 2014г. по 6-10'!N37+'декабрь 2014г. по 0,4'!N34</f>
        <v>0</v>
      </c>
      <c r="O37" s="31">
        <f>'декабрь 2014г. по 6-10'!O37+'декабрь 2014г. по 0,4'!O34</f>
        <v>0</v>
      </c>
      <c r="P37" s="31">
        <f>'декабрь 2014г. по 6-10'!P37+'декабрь 2014г. по 0,4'!P34</f>
        <v>0</v>
      </c>
      <c r="Q37" s="31">
        <f>'декабрь 2014г. по 6-10'!Q37+'декабрь 2014г. по 0,4'!Q34</f>
        <v>0</v>
      </c>
    </row>
    <row r="38" spans="1:17" ht="12.75" customHeight="1" x14ac:dyDescent="0.2">
      <c r="A38" s="18"/>
      <c r="B38" s="18"/>
      <c r="C38" s="18" t="s">
        <v>321</v>
      </c>
      <c r="D38" s="31">
        <f>'декабрь 2014г. по 6-10'!D38+'декабрь 2014г. по 0,4'!D35</f>
        <v>51</v>
      </c>
      <c r="E38" s="31">
        <f>'декабрь 2014г. по 6-10'!E38+'декабрь 2014г. по 0,4'!E35</f>
        <v>610</v>
      </c>
      <c r="F38" s="31">
        <f>'декабрь 2014г. по 6-10'!F38+'декабрь 2014г. по 0,4'!F35</f>
        <v>28</v>
      </c>
      <c r="G38" s="31">
        <f>'декабрь 2014г. по 6-10'!G38+'декабрь 2014г. по 0,4'!G35</f>
        <v>450</v>
      </c>
      <c r="H38" s="31">
        <f>'декабрь 2014г. по 6-10'!H38+'декабрь 2014г. по 0,4'!H35</f>
        <v>0</v>
      </c>
      <c r="I38" s="31">
        <f>'декабрь 2014г. по 6-10'!I38+'декабрь 2014г. по 0,4'!I35</f>
        <v>0</v>
      </c>
      <c r="J38" s="31">
        <f>'декабрь 2014г. по 6-10'!J38+'декабрь 2014г. по 0,4'!J35</f>
        <v>39</v>
      </c>
      <c r="K38" s="31">
        <f>'декабрь 2014г. по 6-10'!K38+'декабрь 2014г. по 0,4'!K35</f>
        <v>640</v>
      </c>
      <c r="L38" s="31">
        <f>'декабрь 2014г. по 6-10'!L38+'декабрь 2014г. по 0,4'!L35</f>
        <v>0</v>
      </c>
      <c r="M38" s="31">
        <f>'декабрь 2014г. по 6-10'!M38+'декабрь 2014г. по 0,4'!M35</f>
        <v>0</v>
      </c>
      <c r="N38" s="31">
        <f>'декабрь 2014г. по 6-10'!N38+'декабрь 2014г. по 0,4'!N35</f>
        <v>0</v>
      </c>
      <c r="O38" s="31">
        <f>'декабрь 2014г. по 6-10'!O38+'декабрь 2014г. по 0,4'!O35</f>
        <v>0</v>
      </c>
      <c r="P38" s="31">
        <f>'декабрь 2014г. по 6-10'!P38+'декабрь 2014г. по 0,4'!P35</f>
        <v>0</v>
      </c>
      <c r="Q38" s="31">
        <f>'декабрь 2014г. по 6-10'!Q38+'декабрь 2014г. по 0,4'!Q35</f>
        <v>0</v>
      </c>
    </row>
    <row r="39" spans="1:17" ht="12.75" customHeight="1" x14ac:dyDescent="0.2">
      <c r="A39" s="18"/>
      <c r="B39" s="18"/>
      <c r="C39" s="18" t="s">
        <v>322</v>
      </c>
      <c r="D39" s="31">
        <f>'декабрь 2014г. по 6-10'!D39+'декабрь 2014г. по 0,4'!D36</f>
        <v>109</v>
      </c>
      <c r="E39" s="31">
        <f>'декабрь 2014г. по 6-10'!E39+'декабрь 2014г. по 0,4'!E36</f>
        <v>1500.5</v>
      </c>
      <c r="F39" s="31">
        <f>'декабрь 2014г. по 6-10'!F39+'декабрь 2014г. по 0,4'!F36</f>
        <v>84</v>
      </c>
      <c r="G39" s="31">
        <f>'декабрь 2014г. по 6-10'!G39+'декабрь 2014г. по 0,4'!G36</f>
        <v>1100</v>
      </c>
      <c r="H39" s="31">
        <f>'декабрь 2014г. по 6-10'!H39+'декабрь 2014г. по 0,4'!H36</f>
        <v>0</v>
      </c>
      <c r="I39" s="31">
        <f>'декабрь 2014г. по 6-10'!I39+'декабрь 2014г. по 0,4'!I36</f>
        <v>0</v>
      </c>
      <c r="J39" s="31">
        <f>'декабрь 2014г. по 6-10'!J39+'декабрь 2014г. по 0,4'!J36</f>
        <v>86</v>
      </c>
      <c r="K39" s="31">
        <f>'декабрь 2014г. по 6-10'!K39+'декабрь 2014г. по 0,4'!K36</f>
        <v>875</v>
      </c>
      <c r="L39" s="31">
        <f>'декабрь 2014г. по 6-10'!L39+'декабрь 2014г. по 0,4'!L36</f>
        <v>0</v>
      </c>
      <c r="M39" s="31">
        <f>'декабрь 2014г. по 6-10'!M39+'декабрь 2014г. по 0,4'!M36</f>
        <v>0</v>
      </c>
      <c r="N39" s="31">
        <f>'декабрь 2014г. по 6-10'!N39+'декабрь 2014г. по 0,4'!N36</f>
        <v>0</v>
      </c>
      <c r="O39" s="31">
        <f>'декабрь 2014г. по 6-10'!O39+'декабрь 2014г. по 0,4'!O36</f>
        <v>0</v>
      </c>
      <c r="P39" s="31">
        <f>'декабрь 2014г. по 6-10'!P39+'декабрь 2014г. по 0,4'!P36</f>
        <v>0</v>
      </c>
      <c r="Q39" s="31">
        <f>'декабрь 2014г. по 6-10'!Q39+'декабрь 2014г. по 0,4'!Q36</f>
        <v>0</v>
      </c>
    </row>
    <row r="40" spans="1:17" ht="12.75" customHeight="1" x14ac:dyDescent="0.2">
      <c r="A40" s="18"/>
      <c r="B40" s="18"/>
      <c r="C40" s="18" t="s">
        <v>323</v>
      </c>
      <c r="D40" s="31">
        <f>'декабрь 2014г. по 6-10'!D40+'декабрь 2014г. по 0,4'!D37</f>
        <v>80</v>
      </c>
      <c r="E40" s="31">
        <f>'декабрь 2014г. по 6-10'!E40+'декабрь 2014г. по 0,4'!E37</f>
        <v>580</v>
      </c>
      <c r="F40" s="31">
        <f>'декабрь 2014г. по 6-10'!F40+'декабрь 2014г. по 0,4'!F37</f>
        <v>50</v>
      </c>
      <c r="G40" s="31">
        <f>'декабрь 2014г. по 6-10'!G40+'декабрь 2014г. по 0,4'!G37</f>
        <v>330</v>
      </c>
      <c r="H40" s="31">
        <f>'декабрь 2014г. по 6-10'!H40+'декабрь 2014г. по 0,4'!H37</f>
        <v>0</v>
      </c>
      <c r="I40" s="31">
        <f>'декабрь 2014г. по 6-10'!I40+'декабрь 2014г. по 0,4'!I37</f>
        <v>0</v>
      </c>
      <c r="J40" s="31">
        <f>'декабрь 2014г. по 6-10'!J40+'декабрь 2014г. по 0,4'!J37</f>
        <v>87</v>
      </c>
      <c r="K40" s="31">
        <f>'декабрь 2014г. по 6-10'!K40+'декабрь 2014г. по 0,4'!K37</f>
        <v>910</v>
      </c>
      <c r="L40" s="31">
        <f>'декабрь 2014г. по 6-10'!L40+'декабрь 2014г. по 0,4'!L37</f>
        <v>0</v>
      </c>
      <c r="M40" s="31">
        <f>'декабрь 2014г. по 6-10'!M40+'декабрь 2014г. по 0,4'!M37</f>
        <v>0</v>
      </c>
      <c r="N40" s="31">
        <f>'декабрь 2014г. по 6-10'!N40+'декабрь 2014г. по 0,4'!N37</f>
        <v>0</v>
      </c>
      <c r="O40" s="31">
        <f>'декабрь 2014г. по 6-10'!O40+'декабрь 2014г. по 0,4'!O37</f>
        <v>0</v>
      </c>
      <c r="P40" s="31">
        <f>'декабрь 2014г. по 6-10'!P40+'декабрь 2014г. по 0,4'!P37</f>
        <v>0</v>
      </c>
      <c r="Q40" s="31">
        <f>'декабрь 2014г. по 6-10'!Q40+'декабрь 2014г. по 0,4'!Q37</f>
        <v>0</v>
      </c>
    </row>
    <row r="41" spans="1:17" ht="12.75" customHeight="1" x14ac:dyDescent="0.2">
      <c r="A41" s="18"/>
      <c r="B41" s="18"/>
      <c r="C41" s="18" t="s">
        <v>324</v>
      </c>
      <c r="D41" s="31">
        <f>'декабрь 2014г. по 6-10'!D41+'декабрь 2014г. по 0,4'!D38</f>
        <v>42</v>
      </c>
      <c r="E41" s="31">
        <f>'декабрь 2014г. по 6-10'!E41+'декабрь 2014г. по 0,4'!E38</f>
        <v>1744.45</v>
      </c>
      <c r="F41" s="31">
        <f>'декабрь 2014г. по 6-10'!F41+'декабрь 2014г. по 0,4'!F38</f>
        <v>30</v>
      </c>
      <c r="G41" s="31">
        <f>'декабрь 2014г. по 6-10'!G41+'декабрь 2014г. по 0,4'!G38</f>
        <v>430</v>
      </c>
      <c r="H41" s="31">
        <f>'декабрь 2014г. по 6-10'!H41+'декабрь 2014г. по 0,4'!H38</f>
        <v>0</v>
      </c>
      <c r="I41" s="31">
        <f>'декабрь 2014г. по 6-10'!I41+'декабрь 2014г. по 0,4'!I38</f>
        <v>0</v>
      </c>
      <c r="J41" s="31">
        <f>'декабрь 2014г. по 6-10'!J41+'декабрь 2014г. по 0,4'!J38</f>
        <v>30</v>
      </c>
      <c r="K41" s="31">
        <f>'декабрь 2014г. по 6-10'!K41+'декабрь 2014г. по 0,4'!K38</f>
        <v>200</v>
      </c>
      <c r="L41" s="31">
        <f>'декабрь 2014г. по 6-10'!L41+'декабрь 2014г. по 0,4'!L38</f>
        <v>0</v>
      </c>
      <c r="M41" s="31">
        <f>'декабрь 2014г. по 6-10'!M41+'декабрь 2014г. по 0,4'!M38</f>
        <v>0</v>
      </c>
      <c r="N41" s="31">
        <f>'декабрь 2014г. по 6-10'!N41+'декабрь 2014г. по 0,4'!N38</f>
        <v>0</v>
      </c>
      <c r="O41" s="31">
        <f>'декабрь 2014г. по 6-10'!O41+'декабрь 2014г. по 0,4'!O38</f>
        <v>0</v>
      </c>
      <c r="P41" s="31">
        <f>'декабрь 2014г. по 6-10'!P41+'декабрь 2014г. по 0,4'!P38</f>
        <v>0</v>
      </c>
      <c r="Q41" s="31">
        <f>'декабрь 2014г. по 6-10'!Q41+'декабрь 2014г. по 0,4'!Q38</f>
        <v>0</v>
      </c>
    </row>
    <row r="42" spans="1:17" ht="12.75" customHeight="1" x14ac:dyDescent="0.2">
      <c r="A42" s="18"/>
      <c r="B42" s="18"/>
      <c r="C42" s="18" t="s">
        <v>325</v>
      </c>
      <c r="D42" s="31">
        <f>'декабрь 2014г. по 6-10'!D42+'декабрь 2014г. по 0,4'!D39</f>
        <v>52</v>
      </c>
      <c r="E42" s="31">
        <f>'декабрь 2014г. по 6-10'!E42+'декабрь 2014г. по 0,4'!E39</f>
        <v>1241.0999999999999</v>
      </c>
      <c r="F42" s="31">
        <f>'декабрь 2014г. по 6-10'!F42+'декабрь 2014г. по 0,4'!F39</f>
        <v>42</v>
      </c>
      <c r="G42" s="31">
        <f>'декабрь 2014г. по 6-10'!G42+'декабрь 2014г. по 0,4'!G39</f>
        <v>1161.0999999999999</v>
      </c>
      <c r="H42" s="31">
        <f>'декабрь 2014г. по 6-10'!H42+'декабрь 2014г. по 0,4'!H39</f>
        <v>0</v>
      </c>
      <c r="I42" s="31">
        <f>'декабрь 2014г. по 6-10'!I42+'декабрь 2014г. по 0,4'!I39</f>
        <v>0</v>
      </c>
      <c r="J42" s="31">
        <f>'декабрь 2014г. по 6-10'!J42+'декабрь 2014г. по 0,4'!J39</f>
        <v>16</v>
      </c>
      <c r="K42" s="31">
        <f>'декабрь 2014г. по 6-10'!K42+'декабрь 2014г. по 0,4'!K39</f>
        <v>120</v>
      </c>
      <c r="L42" s="31">
        <f>'декабрь 2014г. по 6-10'!L42+'декабрь 2014г. по 0,4'!L39</f>
        <v>0</v>
      </c>
      <c r="M42" s="31">
        <f>'декабрь 2014г. по 6-10'!M42+'декабрь 2014г. по 0,4'!M39</f>
        <v>0</v>
      </c>
      <c r="N42" s="31">
        <f>'декабрь 2014г. по 6-10'!N42+'декабрь 2014г. по 0,4'!N39</f>
        <v>0</v>
      </c>
      <c r="O42" s="31">
        <f>'декабрь 2014г. по 6-10'!O42+'декабрь 2014г. по 0,4'!O39</f>
        <v>0</v>
      </c>
      <c r="P42" s="31">
        <f>'декабрь 2014г. по 6-10'!P42+'декабрь 2014г. по 0,4'!P39</f>
        <v>0</v>
      </c>
      <c r="Q42" s="31">
        <f>'декабрь 2014г. по 6-10'!Q42+'декабрь 2014г. по 0,4'!Q39</f>
        <v>0</v>
      </c>
    </row>
    <row r="43" spans="1:17" ht="12.75" customHeight="1" x14ac:dyDescent="0.2">
      <c r="A43" s="18"/>
      <c r="B43" s="18"/>
      <c r="C43" s="18" t="s">
        <v>326</v>
      </c>
      <c r="D43" s="31">
        <f>'декабрь 2014г. по 6-10'!D43+'декабрь 2014г. по 0,4'!D40</f>
        <v>36</v>
      </c>
      <c r="E43" s="31">
        <f>'декабрь 2014г. по 6-10'!E43+'декабрь 2014г. по 0,4'!E40</f>
        <v>828</v>
      </c>
      <c r="F43" s="31">
        <f>'декабрь 2014г. по 6-10'!F43+'декабрь 2014г. по 0,4'!F40</f>
        <v>23</v>
      </c>
      <c r="G43" s="31">
        <f>'декабрь 2014г. по 6-10'!G43+'декабрь 2014г. по 0,4'!G40</f>
        <v>410</v>
      </c>
      <c r="H43" s="31">
        <f>'декабрь 2014г. по 6-10'!H43+'декабрь 2014г. по 0,4'!H40</f>
        <v>0</v>
      </c>
      <c r="I43" s="31">
        <f>'декабрь 2014г. по 6-10'!I43+'декабрь 2014г. по 0,4'!I40</f>
        <v>0</v>
      </c>
      <c r="J43" s="31">
        <f>'декабрь 2014г. по 6-10'!J43+'декабрь 2014г. по 0,4'!J40</f>
        <v>22</v>
      </c>
      <c r="K43" s="31">
        <f>'декабрь 2014г. по 6-10'!K43+'декабрь 2014г. по 0,4'!K40</f>
        <v>100</v>
      </c>
      <c r="L43" s="31">
        <f>'декабрь 2014г. по 6-10'!L43+'декабрь 2014г. по 0,4'!L40</f>
        <v>0</v>
      </c>
      <c r="M43" s="31">
        <f>'декабрь 2014г. по 6-10'!M43+'декабрь 2014г. по 0,4'!M40</f>
        <v>0</v>
      </c>
      <c r="N43" s="31">
        <f>'декабрь 2014г. по 6-10'!N43+'декабрь 2014г. по 0,4'!N40</f>
        <v>0</v>
      </c>
      <c r="O43" s="31">
        <f>'декабрь 2014г. по 6-10'!O43+'декабрь 2014г. по 0,4'!O40</f>
        <v>0</v>
      </c>
      <c r="P43" s="31">
        <f>'декабрь 2014г. по 6-10'!P43+'декабрь 2014г. по 0,4'!P40</f>
        <v>0</v>
      </c>
      <c r="Q43" s="31">
        <f>'декабрь 2014г. по 6-10'!Q43+'декабрь 2014г. по 0,4'!Q40</f>
        <v>0</v>
      </c>
    </row>
    <row r="44" spans="1:17" ht="12.75" customHeight="1" x14ac:dyDescent="0.2">
      <c r="A44" s="18"/>
      <c r="B44" s="18"/>
      <c r="C44" s="18" t="s">
        <v>327</v>
      </c>
      <c r="D44" s="31">
        <f>'декабрь 2014г. по 6-10'!D44+'декабрь 2014г. по 0,4'!D41</f>
        <v>10</v>
      </c>
      <c r="E44" s="31">
        <f>'декабрь 2014г. по 6-10'!E44+'декабрь 2014г. по 0,4'!E41</f>
        <v>125</v>
      </c>
      <c r="F44" s="31">
        <f>'декабрь 2014г. по 6-10'!F44+'декабрь 2014г. по 0,4'!F41</f>
        <v>0</v>
      </c>
      <c r="G44" s="31">
        <f>'декабрь 2014г. по 6-10'!G44+'декабрь 2014г. по 0,4'!G41</f>
        <v>0</v>
      </c>
      <c r="H44" s="31">
        <f>'декабрь 2014г. по 6-10'!H44+'декабрь 2014г. по 0,4'!H41</f>
        <v>0</v>
      </c>
      <c r="I44" s="31">
        <f>'декабрь 2014г. по 6-10'!I44+'декабрь 2014г. по 0,4'!I41</f>
        <v>0</v>
      </c>
      <c r="J44" s="31">
        <f>'декабрь 2014г. по 6-10'!J44+'декабрь 2014г. по 0,4'!J41</f>
        <v>9</v>
      </c>
      <c r="K44" s="31">
        <f>'декабрь 2014г. по 6-10'!K44+'декабрь 2014г. по 0,4'!K41</f>
        <v>85</v>
      </c>
      <c r="L44" s="31">
        <f>'декабрь 2014г. по 6-10'!L44+'декабрь 2014г. по 0,4'!L41</f>
        <v>0</v>
      </c>
      <c r="M44" s="31">
        <f>'декабрь 2014г. по 6-10'!M44+'декабрь 2014г. по 0,4'!M41</f>
        <v>0</v>
      </c>
      <c r="N44" s="31">
        <f>'декабрь 2014г. по 6-10'!N44+'декабрь 2014г. по 0,4'!N41</f>
        <v>0</v>
      </c>
      <c r="O44" s="31">
        <f>'декабрь 2014г. по 6-10'!O44+'декабрь 2014г. по 0,4'!O41</f>
        <v>0</v>
      </c>
      <c r="P44" s="31">
        <f>'декабрь 2014г. по 6-10'!P44+'декабрь 2014г. по 0,4'!P41</f>
        <v>0</v>
      </c>
      <c r="Q44" s="31">
        <f>'декабрь 2014г. по 6-10'!Q44+'декабрь 2014г. по 0,4'!Q41</f>
        <v>0</v>
      </c>
    </row>
    <row r="45" spans="1:17" ht="12.75" customHeight="1" x14ac:dyDescent="0.2">
      <c r="A45" s="18"/>
      <c r="B45" s="18"/>
      <c r="C45" s="18" t="s">
        <v>328</v>
      </c>
      <c r="D45" s="31">
        <f>'декабрь 2014г. по 6-10'!D45+'декабрь 2014г. по 0,4'!D42</f>
        <v>7</v>
      </c>
      <c r="E45" s="31">
        <f>'декабрь 2014г. по 6-10'!E45+'декабрь 2014г. по 0,4'!E42</f>
        <v>329</v>
      </c>
      <c r="F45" s="31">
        <f>'декабрь 2014г. по 6-10'!F45+'декабрь 2014г. по 0,4'!F42</f>
        <v>7</v>
      </c>
      <c r="G45" s="31">
        <f>'декабрь 2014г. по 6-10'!G45+'декабрь 2014г. по 0,4'!G42</f>
        <v>329</v>
      </c>
      <c r="H45" s="31">
        <f>'декабрь 2014г. по 6-10'!H45+'декабрь 2014г. по 0,4'!H42</f>
        <v>0</v>
      </c>
      <c r="I45" s="31">
        <f>'декабрь 2014г. по 6-10'!I45+'декабрь 2014г. по 0,4'!I42</f>
        <v>0</v>
      </c>
      <c r="J45" s="31">
        <f>'декабрь 2014г. по 6-10'!J45+'декабрь 2014г. по 0,4'!J42</f>
        <v>4</v>
      </c>
      <c r="K45" s="31">
        <f>'декабрь 2014г. по 6-10'!K45+'декабрь 2014г. по 0,4'!K42</f>
        <v>110</v>
      </c>
      <c r="L45" s="31">
        <f>'декабрь 2014г. по 6-10'!L45+'декабрь 2014г. по 0,4'!L42</f>
        <v>0</v>
      </c>
      <c r="M45" s="31">
        <f>'декабрь 2014г. по 6-10'!M45+'декабрь 2014г. по 0,4'!M42</f>
        <v>0</v>
      </c>
      <c r="N45" s="31">
        <f>'декабрь 2014г. по 6-10'!N45+'декабрь 2014г. по 0,4'!N42</f>
        <v>0</v>
      </c>
      <c r="O45" s="31">
        <f>'декабрь 2014г. по 6-10'!O45+'декабрь 2014г. по 0,4'!O42</f>
        <v>0</v>
      </c>
      <c r="P45" s="31">
        <f>'декабрь 2014г. по 6-10'!P45+'декабрь 2014г. по 0,4'!P42</f>
        <v>0</v>
      </c>
      <c r="Q45" s="31">
        <f>'декабрь 2014г. по 6-10'!Q45+'декабрь 2014г. по 0,4'!Q42</f>
        <v>0</v>
      </c>
    </row>
    <row r="46" spans="1:17" ht="12.75" customHeight="1" x14ac:dyDescent="0.2">
      <c r="A46" s="18"/>
      <c r="B46" s="18"/>
      <c r="C46" s="18" t="s">
        <v>329</v>
      </c>
      <c r="D46" s="31">
        <f>'декабрь 2014г. по 6-10'!D46+'декабрь 2014г. по 0,4'!D43</f>
        <v>10</v>
      </c>
      <c r="E46" s="31">
        <f>'декабрь 2014г. по 6-10'!E46+'декабрь 2014г. по 0,4'!E43</f>
        <v>242</v>
      </c>
      <c r="F46" s="31">
        <f>'декабрь 2014г. по 6-10'!F46+'декабрь 2014г. по 0,4'!F43</f>
        <v>9</v>
      </c>
      <c r="G46" s="31">
        <f>'декабрь 2014г. по 6-10'!G46+'декабрь 2014г. по 0,4'!G43</f>
        <v>202</v>
      </c>
      <c r="H46" s="31">
        <f>'декабрь 2014г. по 6-10'!H46+'декабрь 2014г. по 0,4'!H43</f>
        <v>0</v>
      </c>
      <c r="I46" s="31">
        <f>'декабрь 2014г. по 6-10'!I46+'декабрь 2014г. по 0,4'!I43</f>
        <v>0</v>
      </c>
      <c r="J46" s="31">
        <f>'декабрь 2014г. по 6-10'!J46+'декабрь 2014г. по 0,4'!J43</f>
        <v>11</v>
      </c>
      <c r="K46" s="31">
        <f>'декабрь 2014г. по 6-10'!K46+'декабрь 2014г. по 0,4'!K43</f>
        <v>55</v>
      </c>
      <c r="L46" s="31">
        <f>'декабрь 2014г. по 6-10'!L46+'декабрь 2014г. по 0,4'!L43</f>
        <v>0</v>
      </c>
      <c r="M46" s="31">
        <f>'декабрь 2014г. по 6-10'!M46+'декабрь 2014г. по 0,4'!M43</f>
        <v>0</v>
      </c>
      <c r="N46" s="31">
        <f>'декабрь 2014г. по 6-10'!N46+'декабрь 2014г. по 0,4'!N43</f>
        <v>0</v>
      </c>
      <c r="O46" s="31">
        <f>'декабрь 2014г. по 6-10'!O46+'декабрь 2014г. по 0,4'!O43</f>
        <v>0</v>
      </c>
      <c r="P46" s="31">
        <f>'декабрь 2014г. по 6-10'!P46+'декабрь 2014г. по 0,4'!P43</f>
        <v>0</v>
      </c>
      <c r="Q46" s="31">
        <f>'декабрь 2014г. по 6-10'!Q46+'декабрь 2014г. по 0,4'!Q43</f>
        <v>0</v>
      </c>
    </row>
    <row r="47" spans="1:17" ht="12.75" customHeight="1" x14ac:dyDescent="0.2">
      <c r="A47" s="18"/>
      <c r="B47" s="18"/>
      <c r="C47" s="18" t="s">
        <v>330</v>
      </c>
      <c r="D47" s="31">
        <f>'декабрь 2014г. по 6-10'!D47+'декабрь 2014г. по 0,4'!D44</f>
        <v>1</v>
      </c>
      <c r="E47" s="31">
        <f>'декабрь 2014г. по 6-10'!E47+'декабрь 2014г. по 0,4'!E44</f>
        <v>75</v>
      </c>
      <c r="F47" s="31">
        <f>'декабрь 2014г. по 6-10'!F47+'декабрь 2014г. по 0,4'!F44</f>
        <v>0</v>
      </c>
      <c r="G47" s="31">
        <f>'декабрь 2014г. по 6-10'!G47+'декабрь 2014г. по 0,4'!G44</f>
        <v>0</v>
      </c>
      <c r="H47" s="31">
        <f>'декабрь 2014г. по 6-10'!H47+'декабрь 2014г. по 0,4'!H44</f>
        <v>0</v>
      </c>
      <c r="I47" s="31">
        <f>'декабрь 2014г. по 6-10'!I47+'декабрь 2014г. по 0,4'!I44</f>
        <v>0</v>
      </c>
      <c r="J47" s="31">
        <f>'декабрь 2014г. по 6-10'!J47+'декабрь 2014г. по 0,4'!J44</f>
        <v>1</v>
      </c>
      <c r="K47" s="31">
        <f>'декабрь 2014г. по 6-10'!K47+'декабрь 2014г. по 0,4'!K44</f>
        <v>75</v>
      </c>
      <c r="L47" s="31">
        <f>'декабрь 2014г. по 6-10'!L47+'декабрь 2014г. по 0,4'!L44</f>
        <v>0</v>
      </c>
      <c r="M47" s="31">
        <f>'декабрь 2014г. по 6-10'!M47+'декабрь 2014г. по 0,4'!M44</f>
        <v>0</v>
      </c>
      <c r="N47" s="31">
        <f>'декабрь 2014г. по 6-10'!N47+'декабрь 2014г. по 0,4'!N44</f>
        <v>0</v>
      </c>
      <c r="O47" s="31">
        <f>'декабрь 2014г. по 6-10'!O47+'декабрь 2014г. по 0,4'!O44</f>
        <v>0</v>
      </c>
      <c r="P47" s="31">
        <f>'декабрь 2014г. по 6-10'!P47+'декабрь 2014г. по 0,4'!P44</f>
        <v>0</v>
      </c>
      <c r="Q47" s="31">
        <f>'декабрь 2014г. по 6-10'!Q47+'декабрь 2014г. по 0,4'!Q44</f>
        <v>0</v>
      </c>
    </row>
    <row r="48" spans="1:17" ht="12.75" customHeight="1" x14ac:dyDescent="0.2">
      <c r="A48" s="18"/>
      <c r="B48" s="18"/>
      <c r="C48" s="18" t="s">
        <v>331</v>
      </c>
      <c r="D48" s="31">
        <f>'декабрь 2014г. по 6-10'!D48+'декабрь 2014г. по 0,4'!D45</f>
        <v>43</v>
      </c>
      <c r="E48" s="31">
        <f>'декабрь 2014г. по 6-10'!E48+'декабрь 2014г. по 0,4'!E45</f>
        <v>1837</v>
      </c>
      <c r="F48" s="31">
        <f>'декабрь 2014г. по 6-10'!F48+'декабрь 2014г. по 0,4'!F45</f>
        <v>36</v>
      </c>
      <c r="G48" s="31">
        <f>'декабрь 2014г. по 6-10'!G48+'декабрь 2014г. по 0,4'!G45</f>
        <v>967</v>
      </c>
      <c r="H48" s="31">
        <f>'декабрь 2014г. по 6-10'!H48+'декабрь 2014г. по 0,4'!H45</f>
        <v>0</v>
      </c>
      <c r="I48" s="31">
        <f>'декабрь 2014г. по 6-10'!I48+'декабрь 2014г. по 0,4'!I45</f>
        <v>0</v>
      </c>
      <c r="J48" s="31">
        <f>'декабрь 2014г. по 6-10'!J48+'декабрь 2014г. по 0,4'!J45</f>
        <v>34</v>
      </c>
      <c r="K48" s="31">
        <f>'декабрь 2014г. по 6-10'!K48+'декабрь 2014г. по 0,4'!K45</f>
        <v>901</v>
      </c>
      <c r="L48" s="31">
        <f>'декабрь 2014г. по 6-10'!L48+'декабрь 2014г. по 0,4'!L45</f>
        <v>0</v>
      </c>
      <c r="M48" s="31">
        <f>'декабрь 2014г. по 6-10'!M48+'декабрь 2014г. по 0,4'!M45</f>
        <v>0</v>
      </c>
      <c r="N48" s="31">
        <f>'декабрь 2014г. по 6-10'!N48+'декабрь 2014г. по 0,4'!N45</f>
        <v>0</v>
      </c>
      <c r="O48" s="31">
        <f>'декабрь 2014г. по 6-10'!O48+'декабрь 2014г. по 0,4'!O45</f>
        <v>0</v>
      </c>
      <c r="P48" s="31">
        <f>'декабрь 2014г. по 6-10'!P48+'декабрь 2014г. по 0,4'!P45</f>
        <v>0</v>
      </c>
      <c r="Q48" s="31">
        <f>'декабрь 2014г. по 6-10'!Q48+'декабрь 2014г. по 0,4'!Q45</f>
        <v>0</v>
      </c>
    </row>
    <row r="49" spans="1:17" ht="12.75" customHeight="1" x14ac:dyDescent="0.2">
      <c r="A49" s="18"/>
      <c r="B49" s="18"/>
      <c r="C49" s="18" t="s">
        <v>332</v>
      </c>
      <c r="D49" s="31">
        <f>'декабрь 2014г. по 6-10'!D49+'декабрь 2014г. по 0,4'!D46</f>
        <v>4</v>
      </c>
      <c r="E49" s="31">
        <f>'декабрь 2014г. по 6-10'!E49+'декабрь 2014г. по 0,4'!E46</f>
        <v>451.1</v>
      </c>
      <c r="F49" s="31">
        <f>'декабрь 2014г. по 6-10'!F49+'декабрь 2014г. по 0,4'!F46</f>
        <v>4</v>
      </c>
      <c r="G49" s="31">
        <f>'декабрь 2014г. по 6-10'!G49+'декабрь 2014г. по 0,4'!G46</f>
        <v>451.1</v>
      </c>
      <c r="H49" s="31">
        <f>'декабрь 2014г. по 6-10'!H49+'декабрь 2014г. по 0,4'!H46</f>
        <v>0</v>
      </c>
      <c r="I49" s="31">
        <f>'декабрь 2014г. по 6-10'!I49+'декабрь 2014г. по 0,4'!I46</f>
        <v>0</v>
      </c>
      <c r="J49" s="31">
        <f>'декабрь 2014г. по 6-10'!J49+'декабрь 2014г. по 0,4'!J46</f>
        <v>5</v>
      </c>
      <c r="K49" s="31">
        <f>'декабрь 2014г. по 6-10'!K49+'декабрь 2014г. по 0,4'!K46</f>
        <v>136.1</v>
      </c>
      <c r="L49" s="31">
        <f>'декабрь 2014г. по 6-10'!L49+'декабрь 2014г. по 0,4'!L46</f>
        <v>0</v>
      </c>
      <c r="M49" s="31">
        <f>'декабрь 2014г. по 6-10'!M49+'декабрь 2014г. по 0,4'!M46</f>
        <v>0</v>
      </c>
      <c r="N49" s="31">
        <f>'декабрь 2014г. по 6-10'!N49+'декабрь 2014г. по 0,4'!N46</f>
        <v>0</v>
      </c>
      <c r="O49" s="31">
        <f>'декабрь 2014г. по 6-10'!O49+'декабрь 2014г. по 0,4'!O46</f>
        <v>0</v>
      </c>
      <c r="P49" s="31">
        <f>'декабрь 2014г. по 6-10'!P49+'декабрь 2014г. по 0,4'!P46</f>
        <v>0</v>
      </c>
      <c r="Q49" s="31">
        <f>'декабрь 2014г. по 6-10'!Q49+'декабрь 2014г. по 0,4'!Q46</f>
        <v>0</v>
      </c>
    </row>
    <row r="50" spans="1:17" ht="12.75" customHeight="1" x14ac:dyDescent="0.2">
      <c r="A50" s="18"/>
      <c r="B50" s="18"/>
      <c r="C50" s="18" t="s">
        <v>333</v>
      </c>
      <c r="D50" s="31">
        <f>'декабрь 2014г. по 6-10'!D50+'декабрь 2014г. по 0,4'!D47</f>
        <v>18</v>
      </c>
      <c r="E50" s="31">
        <f>'декабрь 2014г. по 6-10'!E50+'декабрь 2014г. по 0,4'!E47</f>
        <v>293</v>
      </c>
      <c r="F50" s="31">
        <f>'декабрь 2014г. по 6-10'!F50+'декабрь 2014г. по 0,4'!F47</f>
        <v>3</v>
      </c>
      <c r="G50" s="31">
        <f>'декабрь 2014г. по 6-10'!G50+'декабрь 2014г. по 0,4'!G47</f>
        <v>183</v>
      </c>
      <c r="H50" s="31">
        <f>'декабрь 2014г. по 6-10'!H50+'декабрь 2014г. по 0,4'!H47</f>
        <v>0</v>
      </c>
      <c r="I50" s="31">
        <f>'декабрь 2014г. по 6-10'!I50+'декабрь 2014г. по 0,4'!I47</f>
        <v>0</v>
      </c>
      <c r="J50" s="31">
        <f>'декабрь 2014г. по 6-10'!J50+'декабрь 2014г. по 0,4'!J47</f>
        <v>15</v>
      </c>
      <c r="K50" s="31">
        <f>'декабрь 2014г. по 6-10'!K50+'декабрь 2014г. по 0,4'!K47</f>
        <v>110</v>
      </c>
      <c r="L50" s="31">
        <f>'декабрь 2014г. по 6-10'!L50+'декабрь 2014г. по 0,4'!L47</f>
        <v>0</v>
      </c>
      <c r="M50" s="31">
        <f>'декабрь 2014г. по 6-10'!M50+'декабрь 2014г. по 0,4'!M47</f>
        <v>0</v>
      </c>
      <c r="N50" s="31">
        <f>'декабрь 2014г. по 6-10'!N50+'декабрь 2014г. по 0,4'!N47</f>
        <v>0</v>
      </c>
      <c r="O50" s="31">
        <f>'декабрь 2014г. по 6-10'!O50+'декабрь 2014г. по 0,4'!O47</f>
        <v>0</v>
      </c>
      <c r="P50" s="31">
        <f>'декабрь 2014г. по 6-10'!P50+'декабрь 2014г. по 0,4'!P47</f>
        <v>0</v>
      </c>
      <c r="Q50" s="31">
        <f>'декабрь 2014г. по 6-10'!Q50+'декабрь 2014г. по 0,4'!Q47</f>
        <v>0</v>
      </c>
    </row>
    <row r="51" spans="1:17" ht="12.75" customHeight="1" x14ac:dyDescent="0.2">
      <c r="A51" s="18"/>
      <c r="B51" s="18"/>
      <c r="C51" s="18" t="s">
        <v>334</v>
      </c>
      <c r="D51" s="31">
        <f>'декабрь 2014г. по 6-10'!D51+'декабрь 2014г. по 0,4'!D48</f>
        <v>13</v>
      </c>
      <c r="E51" s="31">
        <f>'декабрь 2014г. по 6-10'!E51+'декабрь 2014г. по 0,4'!E48</f>
        <v>1050</v>
      </c>
      <c r="F51" s="31">
        <f>'декабрь 2014г. по 6-10'!F51+'декабрь 2014г. по 0,4'!F48</f>
        <v>10</v>
      </c>
      <c r="G51" s="31">
        <f>'декабрь 2014г. по 6-10'!G51+'декабрь 2014г. по 0,4'!G48</f>
        <v>515</v>
      </c>
      <c r="H51" s="31">
        <f>'декабрь 2014г. по 6-10'!H51+'декабрь 2014г. по 0,4'!H48</f>
        <v>0</v>
      </c>
      <c r="I51" s="31">
        <f>'декабрь 2014г. по 6-10'!I51+'декабрь 2014г. по 0,4'!I48</f>
        <v>0</v>
      </c>
      <c r="J51" s="31">
        <f>'декабрь 2014г. по 6-10'!J51+'декабрь 2014г. по 0,4'!J48</f>
        <v>5</v>
      </c>
      <c r="K51" s="31">
        <f>'декабрь 2014г. по 6-10'!K51+'декабрь 2014г. по 0,4'!K48</f>
        <v>45</v>
      </c>
      <c r="L51" s="31">
        <f>'декабрь 2014г. по 6-10'!L51+'декабрь 2014г. по 0,4'!L48</f>
        <v>0</v>
      </c>
      <c r="M51" s="31">
        <f>'декабрь 2014г. по 6-10'!M51+'декабрь 2014г. по 0,4'!M48</f>
        <v>0</v>
      </c>
      <c r="N51" s="31">
        <f>'декабрь 2014г. по 6-10'!N51+'декабрь 2014г. по 0,4'!N48</f>
        <v>0</v>
      </c>
      <c r="O51" s="31">
        <f>'декабрь 2014г. по 6-10'!O51+'декабрь 2014г. по 0,4'!O48</f>
        <v>0</v>
      </c>
      <c r="P51" s="31">
        <f>'декабрь 2014г. по 6-10'!P51+'декабрь 2014г. по 0,4'!P48</f>
        <v>0</v>
      </c>
      <c r="Q51" s="31">
        <f>'декабрь 2014г. по 6-10'!Q51+'декабрь 2014г. по 0,4'!Q48</f>
        <v>0</v>
      </c>
    </row>
    <row r="52" spans="1:17" ht="12.75" customHeight="1" x14ac:dyDescent="0.2">
      <c r="A52" s="18"/>
      <c r="B52" s="18"/>
      <c r="C52" s="18" t="s">
        <v>335</v>
      </c>
      <c r="D52" s="31">
        <f>'декабрь 2014г. по 6-10'!D52+'декабрь 2014г. по 0,4'!D49</f>
        <v>7</v>
      </c>
      <c r="E52" s="31">
        <f>'декабрь 2014г. по 6-10'!E52+'декабрь 2014г. по 0,4'!E49</f>
        <v>105</v>
      </c>
      <c r="F52" s="31">
        <f>'декабрь 2014г. по 6-10'!F52+'декабрь 2014г. по 0,4'!F49</f>
        <v>1</v>
      </c>
      <c r="G52" s="31">
        <f>'декабрь 2014г. по 6-10'!G52+'декабрь 2014г. по 0,4'!G49</f>
        <v>15</v>
      </c>
      <c r="H52" s="31">
        <f>'декабрь 2014г. по 6-10'!H52+'декабрь 2014г. по 0,4'!H49</f>
        <v>0</v>
      </c>
      <c r="I52" s="31">
        <f>'декабрь 2014г. по 6-10'!I52+'декабрь 2014г. по 0,4'!I49</f>
        <v>0</v>
      </c>
      <c r="J52" s="31">
        <f>'декабрь 2014г. по 6-10'!J52+'декабрь 2014г. по 0,4'!J49</f>
        <v>5</v>
      </c>
      <c r="K52" s="31">
        <f>'декабрь 2014г. по 6-10'!K52+'декабрь 2014г. по 0,4'!K49</f>
        <v>30</v>
      </c>
      <c r="L52" s="31">
        <f>'декабрь 2014г. по 6-10'!L52+'декабрь 2014г. по 0,4'!L49</f>
        <v>0</v>
      </c>
      <c r="M52" s="31">
        <f>'декабрь 2014г. по 6-10'!M52+'декабрь 2014г. по 0,4'!M49</f>
        <v>0</v>
      </c>
      <c r="N52" s="31">
        <f>'декабрь 2014г. по 6-10'!N52+'декабрь 2014г. по 0,4'!N49</f>
        <v>0</v>
      </c>
      <c r="O52" s="31">
        <f>'декабрь 2014г. по 6-10'!O52+'декабрь 2014г. по 0,4'!O49</f>
        <v>0</v>
      </c>
      <c r="P52" s="31">
        <f>'декабрь 2014г. по 6-10'!P52+'декабрь 2014г. по 0,4'!P49</f>
        <v>0</v>
      </c>
      <c r="Q52" s="31">
        <f>'декабрь 2014г. по 6-10'!Q52+'декабрь 2014г. по 0,4'!Q49</f>
        <v>0</v>
      </c>
    </row>
    <row r="53" spans="1:17" ht="12.75" customHeight="1" x14ac:dyDescent="0.2">
      <c r="A53" s="18"/>
      <c r="B53" s="18"/>
      <c r="C53" s="18" t="s">
        <v>336</v>
      </c>
      <c r="D53" s="31">
        <f>'декабрь 2014г. по 6-10'!D53+'декабрь 2014г. по 0,4'!D50</f>
        <v>2</v>
      </c>
      <c r="E53" s="31">
        <f>'декабрь 2014г. по 6-10'!E53+'декабрь 2014г. по 0,4'!E50</f>
        <v>60</v>
      </c>
      <c r="F53" s="31">
        <f>'декабрь 2014г. по 6-10'!F53+'декабрь 2014г. по 0,4'!F50</f>
        <v>0</v>
      </c>
      <c r="G53" s="31">
        <f>'декабрь 2014г. по 6-10'!G53+'декабрь 2014г. по 0,4'!G50</f>
        <v>0</v>
      </c>
      <c r="H53" s="31">
        <f>'декабрь 2014г. по 6-10'!H53+'декабрь 2014г. по 0,4'!H50</f>
        <v>0</v>
      </c>
      <c r="I53" s="31">
        <f>'декабрь 2014г. по 6-10'!I53+'декабрь 2014г. по 0,4'!I50</f>
        <v>0</v>
      </c>
      <c r="J53" s="31">
        <f>'декабрь 2014г. по 6-10'!J53+'декабрь 2014г. по 0,4'!J50</f>
        <v>3</v>
      </c>
      <c r="K53" s="31">
        <f>'декабрь 2014г. по 6-10'!K53+'декабрь 2014г. по 0,4'!K50</f>
        <v>80</v>
      </c>
      <c r="L53" s="31">
        <f>'декабрь 2014г. по 6-10'!L53+'декабрь 2014г. по 0,4'!L50</f>
        <v>0</v>
      </c>
      <c r="M53" s="31">
        <f>'декабрь 2014г. по 6-10'!M53+'декабрь 2014г. по 0,4'!M50</f>
        <v>0</v>
      </c>
      <c r="N53" s="31">
        <f>'декабрь 2014г. по 6-10'!N53+'декабрь 2014г. по 0,4'!N50</f>
        <v>0</v>
      </c>
      <c r="O53" s="31">
        <f>'декабрь 2014г. по 6-10'!O53+'декабрь 2014г. по 0,4'!O50</f>
        <v>0</v>
      </c>
      <c r="P53" s="31">
        <f>'декабрь 2014г. по 6-10'!P53+'декабрь 2014г. по 0,4'!P50</f>
        <v>0</v>
      </c>
      <c r="Q53" s="31">
        <f>'декабрь 2014г. по 6-10'!Q53+'декабрь 2014г. по 0,4'!Q50</f>
        <v>0</v>
      </c>
    </row>
    <row r="54" spans="1:17" ht="12.75" customHeight="1" x14ac:dyDescent="0.2">
      <c r="A54" s="18"/>
      <c r="B54" s="18"/>
      <c r="C54" s="18" t="s">
        <v>337</v>
      </c>
      <c r="D54" s="31">
        <f>'декабрь 2014г. по 6-10'!D54+'декабрь 2014г. по 0,4'!D51</f>
        <v>5</v>
      </c>
      <c r="E54" s="31">
        <f>'декабрь 2014г. по 6-10'!E54+'декабрь 2014г. по 0,4'!E51</f>
        <v>438</v>
      </c>
      <c r="F54" s="31">
        <f>'декабрь 2014г. по 6-10'!F54+'декабрь 2014г. по 0,4'!F51</f>
        <v>5</v>
      </c>
      <c r="G54" s="31">
        <f>'декабрь 2014г. по 6-10'!G54+'декабрь 2014г. по 0,4'!G51</f>
        <v>438</v>
      </c>
      <c r="H54" s="31">
        <f>'декабрь 2014г. по 6-10'!H54+'декабрь 2014г. по 0,4'!H51</f>
        <v>0</v>
      </c>
      <c r="I54" s="31">
        <f>'декабрь 2014г. по 6-10'!I54+'декабрь 2014г. по 0,4'!I51</f>
        <v>0</v>
      </c>
      <c r="J54" s="31">
        <f>'декабрь 2014г. по 6-10'!J54+'декабрь 2014г. по 0,4'!J51</f>
        <v>2</v>
      </c>
      <c r="K54" s="31">
        <f>'декабрь 2014г. по 6-10'!K54+'декабрь 2014г. по 0,4'!K51</f>
        <v>18</v>
      </c>
      <c r="L54" s="31">
        <f>'декабрь 2014г. по 6-10'!L54+'декабрь 2014г. по 0,4'!L51</f>
        <v>0</v>
      </c>
      <c r="M54" s="31">
        <f>'декабрь 2014г. по 6-10'!M54+'декабрь 2014г. по 0,4'!M51</f>
        <v>0</v>
      </c>
      <c r="N54" s="31">
        <f>'декабрь 2014г. по 6-10'!N54+'декабрь 2014г. по 0,4'!N51</f>
        <v>0</v>
      </c>
      <c r="O54" s="31">
        <f>'декабрь 2014г. по 6-10'!O54+'декабрь 2014г. по 0,4'!O51</f>
        <v>0</v>
      </c>
      <c r="P54" s="31">
        <f>'декабрь 2014г. по 6-10'!P54+'декабрь 2014г. по 0,4'!P51</f>
        <v>0</v>
      </c>
      <c r="Q54" s="31">
        <f>'декабрь 2014г. по 6-10'!Q54+'декабрь 2014г. по 0,4'!Q51</f>
        <v>0</v>
      </c>
    </row>
    <row r="55" spans="1:17" ht="12.75" customHeight="1" x14ac:dyDescent="0.2">
      <c r="A55" s="18"/>
      <c r="B55" s="18"/>
      <c r="C55" s="18" t="s">
        <v>338</v>
      </c>
      <c r="D55" s="31">
        <f>'декабрь 2014г. по 6-10'!D55+'декабрь 2014г. по 0,4'!D52</f>
        <v>3</v>
      </c>
      <c r="E55" s="31">
        <f>'декабрь 2014г. по 6-10'!E55+'декабрь 2014г. по 0,4'!E52</f>
        <v>64</v>
      </c>
      <c r="F55" s="31">
        <f>'декабрь 2014г. по 6-10'!F55+'декабрь 2014г. по 0,4'!F52</f>
        <v>2</v>
      </c>
      <c r="G55" s="31">
        <f>'декабрь 2014г. по 6-10'!G55+'декабрь 2014г. по 0,4'!G52</f>
        <v>24</v>
      </c>
      <c r="H55" s="31">
        <f>'декабрь 2014г. по 6-10'!H55+'декабрь 2014г. по 0,4'!H52</f>
        <v>0</v>
      </c>
      <c r="I55" s="31">
        <f>'декабрь 2014г. по 6-10'!I55+'декабрь 2014г. по 0,4'!I52</f>
        <v>0</v>
      </c>
      <c r="J55" s="31">
        <f>'декабрь 2014г. по 6-10'!J55+'декабрь 2014г. по 0,4'!J52</f>
        <v>2</v>
      </c>
      <c r="K55" s="31">
        <f>'декабрь 2014г. по 6-10'!K55+'декабрь 2014г. по 0,4'!K52</f>
        <v>24</v>
      </c>
      <c r="L55" s="31">
        <f>'декабрь 2014г. по 6-10'!L55+'декабрь 2014г. по 0,4'!L52</f>
        <v>0</v>
      </c>
      <c r="M55" s="31">
        <f>'декабрь 2014г. по 6-10'!M55+'декабрь 2014г. по 0,4'!M52</f>
        <v>0</v>
      </c>
      <c r="N55" s="31">
        <f>'декабрь 2014г. по 6-10'!N55+'декабрь 2014г. по 0,4'!N52</f>
        <v>0</v>
      </c>
      <c r="O55" s="31">
        <f>'декабрь 2014г. по 6-10'!O55+'декабрь 2014г. по 0,4'!O52</f>
        <v>0</v>
      </c>
      <c r="P55" s="31">
        <f>'декабрь 2014г. по 6-10'!P55+'декабрь 2014г. по 0,4'!P52</f>
        <v>0</v>
      </c>
      <c r="Q55" s="31">
        <f>'декабрь 2014г. по 6-10'!Q55+'декабрь 2014г. по 0,4'!Q52</f>
        <v>0</v>
      </c>
    </row>
    <row r="56" spans="1:17" ht="12.75" customHeight="1" x14ac:dyDescent="0.2">
      <c r="A56" s="18"/>
      <c r="B56" s="18"/>
      <c r="C56" s="18" t="s">
        <v>339</v>
      </c>
      <c r="D56" s="31">
        <f>'декабрь 2014г. по 6-10'!D56+'декабрь 2014г. по 0,4'!D53</f>
        <v>7</v>
      </c>
      <c r="E56" s="31">
        <f>'декабрь 2014г. по 6-10'!E56+'декабрь 2014г. по 0,4'!E53</f>
        <v>148</v>
      </c>
      <c r="F56" s="31">
        <f>'декабрь 2014г. по 6-10'!F56+'декабрь 2014г. по 0,4'!F53</f>
        <v>5</v>
      </c>
      <c r="G56" s="31">
        <f>'декабрь 2014г. по 6-10'!G56+'декабрь 2014г. по 0,4'!G53</f>
        <v>129</v>
      </c>
      <c r="H56" s="31">
        <f>'декабрь 2014г. по 6-10'!H56+'декабрь 2014г. по 0,4'!H53</f>
        <v>0</v>
      </c>
      <c r="I56" s="31">
        <f>'декабрь 2014г. по 6-10'!I56+'декабрь 2014г. по 0,4'!I53</f>
        <v>0</v>
      </c>
      <c r="J56" s="31">
        <f>'декабрь 2014г. по 6-10'!J56+'декабрь 2014г. по 0,4'!J53</f>
        <v>4</v>
      </c>
      <c r="K56" s="31">
        <f>'декабрь 2014г. по 6-10'!K56+'декабрь 2014г. по 0,4'!K53</f>
        <v>28</v>
      </c>
      <c r="L56" s="31">
        <f>'декабрь 2014г. по 6-10'!L56+'декабрь 2014г. по 0,4'!L53</f>
        <v>0</v>
      </c>
      <c r="M56" s="31">
        <f>'декабрь 2014г. по 6-10'!M56+'декабрь 2014г. по 0,4'!M53</f>
        <v>0</v>
      </c>
      <c r="N56" s="31">
        <f>'декабрь 2014г. по 6-10'!N56+'декабрь 2014г. по 0,4'!N53</f>
        <v>0</v>
      </c>
      <c r="O56" s="31">
        <f>'декабрь 2014г. по 6-10'!O56+'декабрь 2014г. по 0,4'!O53</f>
        <v>0</v>
      </c>
      <c r="P56" s="31">
        <f>'декабрь 2014г. по 6-10'!P56+'декабрь 2014г. по 0,4'!P53</f>
        <v>0</v>
      </c>
      <c r="Q56" s="31">
        <f>'декабрь 2014г. по 6-10'!Q56+'декабрь 2014г. по 0,4'!Q53</f>
        <v>0</v>
      </c>
    </row>
    <row r="57" spans="1:17" ht="12.75" customHeight="1" x14ac:dyDescent="0.2">
      <c r="A57" s="18"/>
      <c r="B57" s="18"/>
      <c r="C57" s="18" t="s">
        <v>340</v>
      </c>
      <c r="D57" s="31">
        <f>'декабрь 2014г. по 6-10'!D57+'декабрь 2014г. по 0,4'!D54</f>
        <v>4</v>
      </c>
      <c r="E57" s="31">
        <f>'декабрь 2014г. по 6-10'!E57+'декабрь 2014г. по 0,4'!E54</f>
        <v>155</v>
      </c>
      <c r="F57" s="31">
        <f>'декабрь 2014г. по 6-10'!F57+'декабрь 2014г. по 0,4'!F54</f>
        <v>3</v>
      </c>
      <c r="G57" s="31">
        <f>'декабрь 2014г. по 6-10'!G57+'декабрь 2014г. по 0,4'!G54</f>
        <v>145</v>
      </c>
      <c r="H57" s="31">
        <f>'декабрь 2014г. по 6-10'!H57+'декабрь 2014г. по 0,4'!H54</f>
        <v>0</v>
      </c>
      <c r="I57" s="31">
        <f>'декабрь 2014г. по 6-10'!I57+'декабрь 2014г. по 0,4'!I54</f>
        <v>0</v>
      </c>
      <c r="J57" s="31">
        <f>'декабрь 2014г. по 6-10'!J57+'декабрь 2014г. по 0,4'!J54</f>
        <v>2</v>
      </c>
      <c r="K57" s="31">
        <f>'декабрь 2014г. по 6-10'!K57+'декабрь 2014г. по 0,4'!K54</f>
        <v>14</v>
      </c>
      <c r="L57" s="31">
        <f>'декабрь 2014г. по 6-10'!L57+'декабрь 2014г. по 0,4'!L54</f>
        <v>0</v>
      </c>
      <c r="M57" s="31">
        <f>'декабрь 2014г. по 6-10'!M57+'декабрь 2014г. по 0,4'!M54</f>
        <v>0</v>
      </c>
      <c r="N57" s="31">
        <f>'декабрь 2014г. по 6-10'!N57+'декабрь 2014г. по 0,4'!N54</f>
        <v>0</v>
      </c>
      <c r="O57" s="31">
        <f>'декабрь 2014г. по 6-10'!O57+'декабрь 2014г. по 0,4'!O54</f>
        <v>0</v>
      </c>
      <c r="P57" s="31">
        <f>'декабрь 2014г. по 6-10'!P57+'декабрь 2014г. по 0,4'!P54</f>
        <v>0</v>
      </c>
      <c r="Q57" s="31">
        <f>'декабрь 2014г. по 6-10'!Q57+'декабрь 2014г. по 0,4'!Q54</f>
        <v>0</v>
      </c>
    </row>
    <row r="58" spans="1:17" ht="12.75" customHeight="1" x14ac:dyDescent="0.2">
      <c r="A58" s="18"/>
      <c r="B58" s="18"/>
      <c r="C58" s="18" t="s">
        <v>341</v>
      </c>
      <c r="D58" s="31">
        <f>'декабрь 2014г. по 6-10'!D58+'декабрь 2014г. по 0,4'!D55</f>
        <v>27</v>
      </c>
      <c r="E58" s="31">
        <f>'декабрь 2014г. по 6-10'!E58+'декабрь 2014г. по 0,4'!E55</f>
        <v>725</v>
      </c>
      <c r="F58" s="31">
        <f>'декабрь 2014г. по 6-10'!F58+'декабрь 2014г. по 0,4'!F55</f>
        <v>13</v>
      </c>
      <c r="G58" s="31">
        <f>'декабрь 2014г. по 6-10'!G58+'декабрь 2014г. по 0,4'!G55</f>
        <v>273</v>
      </c>
      <c r="H58" s="31">
        <f>'декабрь 2014г. по 6-10'!H58+'декабрь 2014г. по 0,4'!H55</f>
        <v>0</v>
      </c>
      <c r="I58" s="31">
        <f>'декабрь 2014г. по 6-10'!I58+'декабрь 2014г. по 0,4'!I55</f>
        <v>0</v>
      </c>
      <c r="J58" s="31">
        <f>'декабрь 2014г. по 6-10'!J58+'декабрь 2014г. по 0,4'!J55</f>
        <v>25</v>
      </c>
      <c r="K58" s="31">
        <f>'декабрь 2014г. по 6-10'!K58+'декабрь 2014г. по 0,4'!K55</f>
        <v>395</v>
      </c>
      <c r="L58" s="31">
        <f>'декабрь 2014г. по 6-10'!L58+'декабрь 2014г. по 0,4'!L55</f>
        <v>0</v>
      </c>
      <c r="M58" s="31">
        <f>'декабрь 2014г. по 6-10'!M58+'декабрь 2014г. по 0,4'!M55</f>
        <v>0</v>
      </c>
      <c r="N58" s="31">
        <f>'декабрь 2014г. по 6-10'!N58+'декабрь 2014г. по 0,4'!N55</f>
        <v>0</v>
      </c>
      <c r="O58" s="31">
        <f>'декабрь 2014г. по 6-10'!O58+'декабрь 2014г. по 0,4'!O55</f>
        <v>0</v>
      </c>
      <c r="P58" s="31">
        <f>'декабрь 2014г. по 6-10'!P58+'декабрь 2014г. по 0,4'!P55</f>
        <v>0</v>
      </c>
      <c r="Q58" s="31">
        <f>'декабрь 2014г. по 6-10'!Q58+'декабрь 2014г. по 0,4'!Q55</f>
        <v>0</v>
      </c>
    </row>
    <row r="59" spans="1:17" ht="12.75" customHeight="1" x14ac:dyDescent="0.2">
      <c r="A59" s="18"/>
      <c r="B59" s="18"/>
      <c r="C59" s="18" t="s">
        <v>342</v>
      </c>
      <c r="D59" s="31">
        <f>'декабрь 2014г. по 6-10'!D59+'декабрь 2014г. по 0,4'!D56</f>
        <v>13</v>
      </c>
      <c r="E59" s="31">
        <f>'декабрь 2014г. по 6-10'!E59+'декабрь 2014г. по 0,4'!E56</f>
        <v>246</v>
      </c>
      <c r="F59" s="31">
        <f>'декабрь 2014г. по 6-10'!F59+'декабрь 2014г. по 0,4'!F56</f>
        <v>2</v>
      </c>
      <c r="G59" s="31">
        <f>'декабрь 2014г. по 6-10'!G59+'декабрь 2014г. по 0,4'!G56</f>
        <v>10</v>
      </c>
      <c r="H59" s="31">
        <f>'декабрь 2014г. по 6-10'!H59+'декабрь 2014г. по 0,4'!H56</f>
        <v>0</v>
      </c>
      <c r="I59" s="31">
        <f>'декабрь 2014г. по 6-10'!I59+'декабрь 2014г. по 0,4'!I56</f>
        <v>0</v>
      </c>
      <c r="J59" s="31">
        <f>'декабрь 2014г. по 6-10'!J59+'декабрь 2014г. по 0,4'!J56</f>
        <v>12</v>
      </c>
      <c r="K59" s="31">
        <f>'декабрь 2014г. по 6-10'!K59+'декабрь 2014г. по 0,4'!K56</f>
        <v>150</v>
      </c>
      <c r="L59" s="31">
        <f>'декабрь 2014г. по 6-10'!L59+'декабрь 2014г. по 0,4'!L56</f>
        <v>0</v>
      </c>
      <c r="M59" s="31">
        <f>'декабрь 2014г. по 6-10'!M59+'декабрь 2014г. по 0,4'!M56</f>
        <v>0</v>
      </c>
      <c r="N59" s="31">
        <f>'декабрь 2014г. по 6-10'!N59+'декабрь 2014г. по 0,4'!N56</f>
        <v>0</v>
      </c>
      <c r="O59" s="31">
        <f>'декабрь 2014г. по 6-10'!O59+'декабрь 2014г. по 0,4'!O56</f>
        <v>0</v>
      </c>
      <c r="P59" s="31">
        <f>'декабрь 2014г. по 6-10'!P59+'декабрь 2014г. по 0,4'!P56</f>
        <v>0</v>
      </c>
      <c r="Q59" s="31">
        <f>'декабрь 2014г. по 6-10'!Q59+'декабрь 2014г. по 0,4'!Q56</f>
        <v>0</v>
      </c>
    </row>
    <row r="60" spans="1:17" ht="12.75" customHeight="1" x14ac:dyDescent="0.2">
      <c r="A60" s="18"/>
      <c r="B60" s="18"/>
      <c r="C60" s="18" t="s">
        <v>343</v>
      </c>
      <c r="D60" s="31">
        <f>'декабрь 2014г. по 6-10'!D60+'декабрь 2014г. по 0,4'!D57</f>
        <v>17</v>
      </c>
      <c r="E60" s="31">
        <f>'декабрь 2014г. по 6-10'!E60+'декабрь 2014г. по 0,4'!E57</f>
        <v>277</v>
      </c>
      <c r="F60" s="31">
        <f>'декабрь 2014г. по 6-10'!F60+'декабрь 2014г. по 0,4'!F57</f>
        <v>5</v>
      </c>
      <c r="G60" s="31">
        <f>'декабрь 2014г. по 6-10'!G60+'декабрь 2014г. по 0,4'!G57</f>
        <v>196</v>
      </c>
      <c r="H60" s="31">
        <f>'декабрь 2014г. по 6-10'!H60+'декабрь 2014г. по 0,4'!H57</f>
        <v>0</v>
      </c>
      <c r="I60" s="31">
        <f>'декабрь 2014г. по 6-10'!I60+'декабрь 2014г. по 0,4'!I57</f>
        <v>0</v>
      </c>
      <c r="J60" s="31">
        <f>'декабрь 2014г. по 6-10'!J60+'декабрь 2014г. по 0,4'!J57</f>
        <v>15</v>
      </c>
      <c r="K60" s="31">
        <f>'декабрь 2014г. по 6-10'!K60+'декабрь 2014г. по 0,4'!K57</f>
        <v>102</v>
      </c>
      <c r="L60" s="31">
        <f>'декабрь 2014г. по 6-10'!L60+'декабрь 2014г. по 0,4'!L57</f>
        <v>0</v>
      </c>
      <c r="M60" s="31">
        <f>'декабрь 2014г. по 6-10'!M60+'декабрь 2014г. по 0,4'!M57</f>
        <v>0</v>
      </c>
      <c r="N60" s="31">
        <f>'декабрь 2014г. по 6-10'!N60+'декабрь 2014г. по 0,4'!N57</f>
        <v>0</v>
      </c>
      <c r="O60" s="31">
        <f>'декабрь 2014г. по 6-10'!O60+'декабрь 2014г. по 0,4'!O57</f>
        <v>0</v>
      </c>
      <c r="P60" s="31">
        <f>'декабрь 2014г. по 6-10'!P60+'декабрь 2014г. по 0,4'!P57</f>
        <v>0</v>
      </c>
      <c r="Q60" s="31">
        <f>'декабрь 2014г. по 6-10'!Q60+'декабрь 2014г. по 0,4'!Q57</f>
        <v>0</v>
      </c>
    </row>
    <row r="61" spans="1:17" ht="12.75" customHeight="1" x14ac:dyDescent="0.2">
      <c r="A61" s="18"/>
      <c r="B61" s="18"/>
      <c r="C61" s="18" t="s">
        <v>344</v>
      </c>
      <c r="D61" s="31">
        <f>'декабрь 2014г. по 6-10'!D61+'декабрь 2014г. по 0,4'!D58</f>
        <v>0</v>
      </c>
      <c r="E61" s="31">
        <f>'декабрь 2014г. по 6-10'!E61+'декабрь 2014г. по 0,4'!E58</f>
        <v>0</v>
      </c>
      <c r="F61" s="31">
        <f>'декабрь 2014г. по 6-10'!F61+'декабрь 2014г. по 0,4'!F58</f>
        <v>0</v>
      </c>
      <c r="G61" s="31">
        <f>'декабрь 2014г. по 6-10'!G61+'декабрь 2014г. по 0,4'!G58</f>
        <v>0</v>
      </c>
      <c r="H61" s="31">
        <f>'декабрь 2014г. по 6-10'!H61+'декабрь 2014г. по 0,4'!H58</f>
        <v>0</v>
      </c>
      <c r="I61" s="31">
        <f>'декабрь 2014г. по 6-10'!I61+'декабрь 2014г. по 0,4'!I58</f>
        <v>0</v>
      </c>
      <c r="J61" s="31">
        <f>'декабрь 2014г. по 6-10'!J61+'декабрь 2014г. по 0,4'!J58</f>
        <v>0</v>
      </c>
      <c r="K61" s="31">
        <f>'декабрь 2014г. по 6-10'!K61+'декабрь 2014г. по 0,4'!K58</f>
        <v>0</v>
      </c>
      <c r="L61" s="31">
        <f>'декабрь 2014г. по 6-10'!L61+'декабрь 2014г. по 0,4'!L58</f>
        <v>0</v>
      </c>
      <c r="M61" s="31">
        <f>'декабрь 2014г. по 6-10'!M61+'декабрь 2014г. по 0,4'!M58</f>
        <v>0</v>
      </c>
      <c r="N61" s="31">
        <f>'декабрь 2014г. по 6-10'!N61+'декабрь 2014г. по 0,4'!N58</f>
        <v>0</v>
      </c>
      <c r="O61" s="31">
        <f>'декабрь 2014г. по 6-10'!O61+'декабрь 2014г. по 0,4'!O58</f>
        <v>0</v>
      </c>
      <c r="P61" s="31">
        <f>'декабрь 2014г. по 6-10'!P61+'декабрь 2014г. по 0,4'!P58</f>
        <v>0</v>
      </c>
      <c r="Q61" s="31">
        <f>'декабрь 2014г. по 6-10'!Q61+'декабрь 2014г. по 0,4'!Q58</f>
        <v>0</v>
      </c>
    </row>
    <row r="62" spans="1:17" ht="12.75" customHeight="1" x14ac:dyDescent="0.2">
      <c r="A62" s="18"/>
      <c r="B62" s="18"/>
      <c r="C62" s="18" t="s">
        <v>345</v>
      </c>
      <c r="D62" s="31">
        <f>'декабрь 2014г. по 6-10'!D62+'декабрь 2014г. по 0,4'!D59</f>
        <v>2</v>
      </c>
      <c r="E62" s="31">
        <f>'декабрь 2014г. по 6-10'!E62+'декабрь 2014г. по 0,4'!E59</f>
        <v>15</v>
      </c>
      <c r="F62" s="31">
        <f>'декабрь 2014г. по 6-10'!F62+'декабрь 2014г. по 0,4'!F59</f>
        <v>2</v>
      </c>
      <c r="G62" s="31">
        <f>'декабрь 2014г. по 6-10'!G62+'декабрь 2014г. по 0,4'!G59</f>
        <v>15</v>
      </c>
      <c r="H62" s="31">
        <f>'декабрь 2014г. по 6-10'!H62+'декабрь 2014г. по 0,4'!H59</f>
        <v>0</v>
      </c>
      <c r="I62" s="31">
        <f>'декабрь 2014г. по 6-10'!I62+'декабрь 2014г. по 0,4'!I59</f>
        <v>0</v>
      </c>
      <c r="J62" s="31">
        <f>'декабрь 2014г. по 6-10'!J62+'декабрь 2014г. по 0,4'!J59</f>
        <v>2</v>
      </c>
      <c r="K62" s="31">
        <f>'декабрь 2014г. по 6-10'!K62+'декабрь 2014г. по 0,4'!K59</f>
        <v>15</v>
      </c>
      <c r="L62" s="31">
        <f>'декабрь 2014г. по 6-10'!L62+'декабрь 2014г. по 0,4'!L59</f>
        <v>0</v>
      </c>
      <c r="M62" s="31">
        <f>'декабрь 2014г. по 6-10'!M62+'декабрь 2014г. по 0,4'!M59</f>
        <v>0</v>
      </c>
      <c r="N62" s="31">
        <f>'декабрь 2014г. по 6-10'!N62+'декабрь 2014г. по 0,4'!N59</f>
        <v>0</v>
      </c>
      <c r="O62" s="31">
        <f>'декабрь 2014г. по 6-10'!O62+'декабрь 2014г. по 0,4'!O59</f>
        <v>0</v>
      </c>
      <c r="P62" s="31">
        <f>'декабрь 2014г. по 6-10'!P62+'декабрь 2014г. по 0,4'!P59</f>
        <v>0</v>
      </c>
      <c r="Q62" s="31">
        <f>'декабрь 2014г. по 6-10'!Q62+'декабрь 2014г. по 0,4'!Q59</f>
        <v>0</v>
      </c>
    </row>
    <row r="63" spans="1:17" ht="12.75" customHeight="1" x14ac:dyDescent="0.2">
      <c r="A63" s="18"/>
      <c r="B63" s="18"/>
      <c r="C63" s="18" t="s">
        <v>362</v>
      </c>
      <c r="D63" s="31">
        <f>'декабрь 2014г. по 6-10'!D63+'декабрь 2014г. по 0,4'!D60</f>
        <v>16</v>
      </c>
      <c r="E63" s="31">
        <f>'декабрь 2014г. по 6-10'!E63+'декабрь 2014г. по 0,4'!E60</f>
        <v>981</v>
      </c>
      <c r="F63" s="31">
        <f>'декабрь 2014г. по 6-10'!F63+'декабрь 2014г. по 0,4'!F60</f>
        <v>4</v>
      </c>
      <c r="G63" s="31">
        <f>'декабрь 2014г. по 6-10'!G63+'декабрь 2014г. по 0,4'!G60</f>
        <v>485</v>
      </c>
      <c r="H63" s="31">
        <f>'декабрь 2014г. по 6-10'!H63+'декабрь 2014г. по 0,4'!H60</f>
        <v>0</v>
      </c>
      <c r="I63" s="31">
        <f>'декабрь 2014г. по 6-10'!I63+'декабрь 2014г. по 0,4'!I60</f>
        <v>0</v>
      </c>
      <c r="J63" s="31">
        <f>'декабрь 2014г. по 6-10'!J63+'декабрь 2014г. по 0,4'!J60</f>
        <v>15</v>
      </c>
      <c r="K63" s="31">
        <f>'декабрь 2014г. по 6-10'!K63+'декабрь 2014г. по 0,4'!K60</f>
        <v>105</v>
      </c>
      <c r="L63" s="31">
        <f>'декабрь 2014г. по 6-10'!L63+'декабрь 2014г. по 0,4'!L60</f>
        <v>0</v>
      </c>
      <c r="M63" s="31">
        <f>'декабрь 2014г. по 6-10'!M63+'декабрь 2014г. по 0,4'!M60</f>
        <v>0</v>
      </c>
      <c r="N63" s="31">
        <f>'декабрь 2014г. по 6-10'!N63+'декабрь 2014г. по 0,4'!N60</f>
        <v>0</v>
      </c>
      <c r="O63" s="31">
        <f>'декабрь 2014г. по 6-10'!O63+'декабрь 2014г. по 0,4'!O60</f>
        <v>0</v>
      </c>
      <c r="P63" s="31">
        <f>'декабрь 2014г. по 6-10'!P63+'декабрь 2014г. по 0,4'!P60</f>
        <v>0</v>
      </c>
      <c r="Q63" s="31">
        <f>'декабрь 2014г. по 6-10'!Q63+'декабрь 2014г. по 0,4'!Q60</f>
        <v>0</v>
      </c>
    </row>
    <row r="64" spans="1:17" ht="17.25" customHeight="1" x14ac:dyDescent="0.2">
      <c r="A64" s="18"/>
      <c r="B64" s="18"/>
      <c r="C64" s="20" t="s">
        <v>30</v>
      </c>
      <c r="D64" s="68">
        <f t="shared" ref="D64:Q64" si="0">SUM(D23:D63)</f>
        <v>1172</v>
      </c>
      <c r="E64" s="68">
        <f t="shared" si="0"/>
        <v>32714.149999999998</v>
      </c>
      <c r="F64" s="68">
        <f t="shared" si="0"/>
        <v>767</v>
      </c>
      <c r="G64" s="68">
        <f t="shared" si="0"/>
        <v>18914.599999999999</v>
      </c>
      <c r="H64" s="68">
        <f t="shared" si="0"/>
        <v>0</v>
      </c>
      <c r="I64" s="68">
        <f t="shared" si="0"/>
        <v>0</v>
      </c>
      <c r="J64" s="68">
        <f t="shared" si="0"/>
        <v>905</v>
      </c>
      <c r="K64" s="68">
        <f t="shared" si="0"/>
        <v>11179.1</v>
      </c>
      <c r="L64" s="68">
        <f t="shared" si="0"/>
        <v>0</v>
      </c>
      <c r="M64" s="68">
        <f t="shared" si="0"/>
        <v>0</v>
      </c>
      <c r="N64" s="68">
        <f t="shared" si="0"/>
        <v>0</v>
      </c>
      <c r="O64" s="68">
        <f t="shared" si="0"/>
        <v>0</v>
      </c>
      <c r="P64" s="68">
        <f t="shared" si="0"/>
        <v>0</v>
      </c>
      <c r="Q64" s="68">
        <f t="shared" si="0"/>
        <v>0</v>
      </c>
    </row>
    <row r="65" spans="1:17" ht="15" x14ac:dyDescent="0.25">
      <c r="A65" s="18"/>
      <c r="B65" s="18"/>
      <c r="C65" s="52" t="s">
        <v>148</v>
      </c>
      <c r="D65" s="46"/>
      <c r="E65" s="31"/>
      <c r="F65" s="31"/>
      <c r="G65" s="31"/>
      <c r="H65" s="24"/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">
      <c r="A66" s="18"/>
      <c r="B66" s="53"/>
      <c r="C66" s="18" t="s">
        <v>350</v>
      </c>
      <c r="D66" s="31">
        <f>'декабрь 2014г. по 6-10'!D66+'декабрь 2014г. по 0,4'!D63</f>
        <v>114</v>
      </c>
      <c r="E66" s="31">
        <f>'декабрь 2014г. по 6-10'!E66+'декабрь 2014г. по 0,4'!E63</f>
        <v>3259.09</v>
      </c>
      <c r="F66" s="31">
        <f>'декабрь 2014г. по 6-10'!F66+'декабрь 2014г. по 0,4'!F63</f>
        <v>86</v>
      </c>
      <c r="G66" s="31">
        <f>'декабрь 2014г. по 6-10'!G66+'декабрь 2014г. по 0,4'!G63</f>
        <v>1473</v>
      </c>
      <c r="H66" s="31">
        <f>'декабрь 2014г. по 6-10'!H66+'декабрь 2014г. по 0,4'!H63</f>
        <v>0</v>
      </c>
      <c r="I66" s="31">
        <f>'декабрь 2014г. по 6-10'!I66+'декабрь 2014г. по 0,4'!I63</f>
        <v>0</v>
      </c>
      <c r="J66" s="31">
        <f>'декабрь 2014г. по 6-10'!J66+'декабрь 2014г. по 0,4'!J63</f>
        <v>46</v>
      </c>
      <c r="K66" s="31">
        <f>'декабрь 2014г. по 6-10'!K66+'декабрь 2014г. по 0,4'!K63</f>
        <v>580</v>
      </c>
      <c r="L66" s="31">
        <f>'декабрь 2014г. по 6-10'!L66+'декабрь 2014г. по 0,4'!L63</f>
        <v>0</v>
      </c>
      <c r="M66" s="31">
        <f>'декабрь 2014г. по 6-10'!M66+'декабрь 2014г. по 0,4'!M63</f>
        <v>0</v>
      </c>
      <c r="N66" s="31">
        <f>'декабрь 2014г. по 6-10'!N66+'декабрь 2014г. по 0,4'!N63</f>
        <v>0</v>
      </c>
      <c r="O66" s="31">
        <f>'декабрь 2014г. по 6-10'!O66+'декабрь 2014г. по 0,4'!O63</f>
        <v>0</v>
      </c>
      <c r="P66" s="31">
        <f>'декабрь 2014г. по 6-10'!P66+'декабрь 2014г. по 0,4'!P63</f>
        <v>0</v>
      </c>
      <c r="Q66" s="31">
        <f>'декабрь 2014г. по 6-10'!Q66+'декабрь 2014г. по 0,4'!Q63</f>
        <v>0</v>
      </c>
    </row>
    <row r="67" spans="1:17" ht="12.75" customHeight="1" x14ac:dyDescent="0.2">
      <c r="A67" s="18"/>
      <c r="B67" s="53"/>
      <c r="C67" s="18" t="s">
        <v>149</v>
      </c>
      <c r="D67" s="31">
        <f>'декабрь 2014г. по 6-10'!D67+'декабрь 2014г. по 0,4'!D64</f>
        <v>56</v>
      </c>
      <c r="E67" s="31">
        <f>'декабрь 2014г. по 6-10'!E67+'декабрь 2014г. по 0,4'!E64</f>
        <v>1597.5</v>
      </c>
      <c r="F67" s="31">
        <f>'декабрь 2014г. по 6-10'!F67+'декабрь 2014г. по 0,4'!F64</f>
        <v>45</v>
      </c>
      <c r="G67" s="31">
        <f>'декабрь 2014г. по 6-10'!G67+'декабрь 2014г. по 0,4'!G64</f>
        <v>735.5</v>
      </c>
      <c r="H67" s="31">
        <f>'декабрь 2014г. по 6-10'!H67+'декабрь 2014г. по 0,4'!H64</f>
        <v>0</v>
      </c>
      <c r="I67" s="31">
        <f>'декабрь 2014г. по 6-10'!I67+'декабрь 2014г. по 0,4'!I64</f>
        <v>0</v>
      </c>
      <c r="J67" s="31">
        <f>'декабрь 2014г. по 6-10'!J67+'декабрь 2014г. по 0,4'!J64</f>
        <v>36</v>
      </c>
      <c r="K67" s="31">
        <f>'декабрь 2014г. по 6-10'!K67+'декабрь 2014г. по 0,4'!K64</f>
        <v>790</v>
      </c>
      <c r="L67" s="31">
        <f>'декабрь 2014г. по 6-10'!L67+'декабрь 2014г. по 0,4'!L64</f>
        <v>0</v>
      </c>
      <c r="M67" s="31">
        <f>'декабрь 2014г. по 6-10'!M67+'декабрь 2014г. по 0,4'!M64</f>
        <v>0</v>
      </c>
      <c r="N67" s="31">
        <f>'декабрь 2014г. по 6-10'!N67+'декабрь 2014г. по 0,4'!N64</f>
        <v>0</v>
      </c>
      <c r="O67" s="31">
        <f>'декабрь 2014г. по 6-10'!O67+'декабрь 2014г. по 0,4'!O64</f>
        <v>0</v>
      </c>
      <c r="P67" s="31">
        <f>'декабрь 2014г. по 6-10'!P67+'декабрь 2014г. по 0,4'!P64</f>
        <v>0</v>
      </c>
      <c r="Q67" s="31">
        <f>'декабрь 2014г. по 6-10'!Q67+'декабрь 2014г. по 0,4'!Q64</f>
        <v>0</v>
      </c>
    </row>
    <row r="68" spans="1:17" ht="12.75" customHeight="1" x14ac:dyDescent="0.2">
      <c r="A68" s="18"/>
      <c r="B68" s="53"/>
      <c r="C68" s="18" t="s">
        <v>150</v>
      </c>
      <c r="D68" s="31">
        <f>'декабрь 2014г. по 6-10'!D68+'декабрь 2014г. по 0,4'!D65</f>
        <v>37</v>
      </c>
      <c r="E68" s="31">
        <f>'декабрь 2014г. по 6-10'!E68+'декабрь 2014г. по 0,4'!E65</f>
        <v>1160</v>
      </c>
      <c r="F68" s="31">
        <f>'декабрь 2014г. по 6-10'!F68+'декабрь 2014г. по 0,4'!F65</f>
        <v>14</v>
      </c>
      <c r="G68" s="31">
        <f>'декабрь 2014г. по 6-10'!G68+'декабрь 2014г. по 0,4'!G65</f>
        <v>399.5</v>
      </c>
      <c r="H68" s="31">
        <f>'декабрь 2014г. по 6-10'!H68+'декабрь 2014г. по 0,4'!H65</f>
        <v>0</v>
      </c>
      <c r="I68" s="31">
        <f>'декабрь 2014г. по 6-10'!I68+'декабрь 2014г. по 0,4'!I65</f>
        <v>0</v>
      </c>
      <c r="J68" s="31">
        <f>'декабрь 2014г. по 6-10'!J68+'декабрь 2014г. по 0,4'!J65</f>
        <v>4</v>
      </c>
      <c r="K68" s="31">
        <f>'декабрь 2014г. по 6-10'!K68+'декабрь 2014г. по 0,4'!K65</f>
        <v>10</v>
      </c>
      <c r="L68" s="31">
        <f>'декабрь 2014г. по 6-10'!L68+'декабрь 2014г. по 0,4'!L65</f>
        <v>0</v>
      </c>
      <c r="M68" s="31">
        <f>'декабрь 2014г. по 6-10'!M68+'декабрь 2014г. по 0,4'!M65</f>
        <v>0</v>
      </c>
      <c r="N68" s="31">
        <f>'декабрь 2014г. по 6-10'!N68+'декабрь 2014г. по 0,4'!N65</f>
        <v>0</v>
      </c>
      <c r="O68" s="31">
        <f>'декабрь 2014г. по 6-10'!O68+'декабрь 2014г. по 0,4'!O65</f>
        <v>0</v>
      </c>
      <c r="P68" s="31">
        <f>'декабрь 2014г. по 6-10'!P68+'декабрь 2014г. по 0,4'!P65</f>
        <v>0</v>
      </c>
      <c r="Q68" s="31">
        <f>'декабрь 2014г. по 6-10'!Q68+'декабрь 2014г. по 0,4'!Q65</f>
        <v>0</v>
      </c>
    </row>
    <row r="69" spans="1:17" ht="12.75" customHeight="1" x14ac:dyDescent="0.2">
      <c r="A69" s="18"/>
      <c r="B69" s="53"/>
      <c r="C69" s="18" t="s">
        <v>151</v>
      </c>
      <c r="D69" s="31">
        <f>'декабрь 2014г. по 6-10'!D69+'декабрь 2014г. по 0,4'!D66</f>
        <v>2</v>
      </c>
      <c r="E69" s="31">
        <f>'декабрь 2014г. по 6-10'!E69+'декабрь 2014г. по 0,4'!E66</f>
        <v>125</v>
      </c>
      <c r="F69" s="31">
        <f>'декабрь 2014г. по 6-10'!F69+'декабрь 2014г. по 0,4'!F66</f>
        <v>2</v>
      </c>
      <c r="G69" s="31">
        <f>'декабрь 2014г. по 6-10'!G69+'декабрь 2014г. по 0,4'!G66</f>
        <v>25</v>
      </c>
      <c r="H69" s="31">
        <f>'декабрь 2014г. по 6-10'!H69+'декабрь 2014г. по 0,4'!H66</f>
        <v>0</v>
      </c>
      <c r="I69" s="31">
        <f>'декабрь 2014г. по 6-10'!I69+'декабрь 2014г. по 0,4'!I66</f>
        <v>0</v>
      </c>
      <c r="J69" s="31">
        <f>'декабрь 2014г. по 6-10'!J69+'декабрь 2014г. по 0,4'!J66</f>
        <v>2</v>
      </c>
      <c r="K69" s="31">
        <f>'декабрь 2014г. по 6-10'!K69+'декабрь 2014г. по 0,4'!K66</f>
        <v>125</v>
      </c>
      <c r="L69" s="31">
        <f>'декабрь 2014г. по 6-10'!L69+'декабрь 2014г. по 0,4'!L66</f>
        <v>0</v>
      </c>
      <c r="M69" s="31">
        <f>'декабрь 2014г. по 6-10'!M69+'декабрь 2014г. по 0,4'!M66</f>
        <v>0</v>
      </c>
      <c r="N69" s="31">
        <f>'декабрь 2014г. по 6-10'!N69+'декабрь 2014г. по 0,4'!N66</f>
        <v>0</v>
      </c>
      <c r="O69" s="31">
        <f>'декабрь 2014г. по 6-10'!O69+'декабрь 2014г. по 0,4'!O66</f>
        <v>0</v>
      </c>
      <c r="P69" s="31">
        <f>'декабрь 2014г. по 6-10'!P69+'декабрь 2014г. по 0,4'!P66</f>
        <v>0</v>
      </c>
      <c r="Q69" s="31">
        <f>'декабрь 2014г. по 6-10'!Q69+'декабрь 2014г. по 0,4'!Q66</f>
        <v>0</v>
      </c>
    </row>
    <row r="70" spans="1:17" ht="12.75" customHeight="1" x14ac:dyDescent="0.2">
      <c r="A70" s="18"/>
      <c r="B70" s="53"/>
      <c r="C70" s="18" t="s">
        <v>152</v>
      </c>
      <c r="D70" s="31">
        <f>'декабрь 2014г. по 6-10'!D70+'декабрь 2014г. по 0,4'!D67</f>
        <v>14</v>
      </c>
      <c r="E70" s="31">
        <f>'декабрь 2014г. по 6-10'!E70+'декабрь 2014г. по 0,4'!E67</f>
        <v>461</v>
      </c>
      <c r="F70" s="31">
        <f>'декабрь 2014г. по 6-10'!F70+'декабрь 2014г. по 0,4'!F67</f>
        <v>11</v>
      </c>
      <c r="G70" s="31">
        <f>'декабрь 2014г. по 6-10'!G70+'декабрь 2014г. по 0,4'!G67</f>
        <v>157</v>
      </c>
      <c r="H70" s="31">
        <f>'декабрь 2014г. по 6-10'!H70+'декабрь 2014г. по 0,4'!H67</f>
        <v>0</v>
      </c>
      <c r="I70" s="31">
        <f>'декабрь 2014г. по 6-10'!I70+'декабрь 2014г. по 0,4'!I67</f>
        <v>0</v>
      </c>
      <c r="J70" s="31">
        <f>'декабрь 2014г. по 6-10'!J70+'декабрь 2014г. по 0,4'!J67</f>
        <v>11</v>
      </c>
      <c r="K70" s="31">
        <f>'декабрь 2014г. по 6-10'!K70+'декабрь 2014г. по 0,4'!K67</f>
        <v>136</v>
      </c>
      <c r="L70" s="31">
        <f>'декабрь 2014г. по 6-10'!L70+'декабрь 2014г. по 0,4'!L67</f>
        <v>0</v>
      </c>
      <c r="M70" s="31">
        <f>'декабрь 2014г. по 6-10'!M70+'декабрь 2014г. по 0,4'!M67</f>
        <v>0</v>
      </c>
      <c r="N70" s="31">
        <f>'декабрь 2014г. по 6-10'!N70+'декабрь 2014г. по 0,4'!N67</f>
        <v>0</v>
      </c>
      <c r="O70" s="31">
        <f>'декабрь 2014г. по 6-10'!O70+'декабрь 2014г. по 0,4'!O67</f>
        <v>0</v>
      </c>
      <c r="P70" s="31">
        <f>'декабрь 2014г. по 6-10'!P70+'декабрь 2014г. по 0,4'!P67</f>
        <v>0</v>
      </c>
      <c r="Q70" s="31">
        <f>'декабрь 2014г. по 6-10'!Q70+'декабрь 2014г. по 0,4'!Q67</f>
        <v>0</v>
      </c>
    </row>
    <row r="71" spans="1:17" ht="12.75" customHeight="1" x14ac:dyDescent="0.2">
      <c r="A71" s="18"/>
      <c r="B71" s="53"/>
      <c r="C71" s="18" t="s">
        <v>351</v>
      </c>
      <c r="D71" s="31">
        <f>'декабрь 2014г. по 6-10'!D71+'декабрь 2014г. по 0,4'!D68</f>
        <v>1</v>
      </c>
      <c r="E71" s="31">
        <f>'декабрь 2014г. по 6-10'!E71+'декабрь 2014г. по 0,4'!E68</f>
        <v>10</v>
      </c>
      <c r="F71" s="31">
        <f>'декабрь 2014г. по 6-10'!F71+'декабрь 2014г. по 0,4'!F68</f>
        <v>1</v>
      </c>
      <c r="G71" s="31">
        <f>'декабрь 2014г. по 6-10'!G71+'декабрь 2014г. по 0,4'!G68</f>
        <v>10</v>
      </c>
      <c r="H71" s="31">
        <f>'декабрь 2014г. по 6-10'!H71+'декабрь 2014г. по 0,4'!H68</f>
        <v>0</v>
      </c>
      <c r="I71" s="31">
        <f>'декабрь 2014г. по 6-10'!I71+'декабрь 2014г. по 0,4'!I68</f>
        <v>0</v>
      </c>
      <c r="J71" s="31">
        <f>'декабрь 2014г. по 6-10'!J71+'декабрь 2014г. по 0,4'!J68</f>
        <v>1</v>
      </c>
      <c r="K71" s="31">
        <f>'декабрь 2014г. по 6-10'!K71+'декабрь 2014г. по 0,4'!K68</f>
        <v>10</v>
      </c>
      <c r="L71" s="31">
        <f>'декабрь 2014г. по 6-10'!L71+'декабрь 2014г. по 0,4'!L68</f>
        <v>0</v>
      </c>
      <c r="M71" s="31">
        <f>'декабрь 2014г. по 6-10'!M71+'декабрь 2014г. по 0,4'!M68</f>
        <v>0</v>
      </c>
      <c r="N71" s="31">
        <f>'декабрь 2014г. по 6-10'!N71+'декабрь 2014г. по 0,4'!N68</f>
        <v>0</v>
      </c>
      <c r="O71" s="31">
        <f>'декабрь 2014г. по 6-10'!O71+'декабрь 2014г. по 0,4'!O68</f>
        <v>0</v>
      </c>
      <c r="P71" s="31">
        <f>'декабрь 2014г. по 6-10'!P71+'декабрь 2014г. по 0,4'!P68</f>
        <v>0</v>
      </c>
      <c r="Q71" s="31">
        <f>'декабрь 2014г. по 6-10'!Q71+'декабрь 2014г. по 0,4'!Q68</f>
        <v>0</v>
      </c>
    </row>
    <row r="72" spans="1:17" ht="12.75" customHeight="1" x14ac:dyDescent="0.2">
      <c r="A72" s="18"/>
      <c r="B72" s="53"/>
      <c r="C72" s="18" t="s">
        <v>153</v>
      </c>
      <c r="D72" s="31">
        <f>'декабрь 2014г. по 6-10'!D72+'декабрь 2014г. по 0,4'!D69</f>
        <v>26</v>
      </c>
      <c r="E72" s="31">
        <f>'декабрь 2014г. по 6-10'!E72+'декабрь 2014г. по 0,4'!E69</f>
        <v>230</v>
      </c>
      <c r="F72" s="31">
        <f>'декабрь 2014г. по 6-10'!F72+'декабрь 2014г. по 0,4'!F69</f>
        <v>21</v>
      </c>
      <c r="G72" s="31">
        <f>'декабрь 2014г. по 6-10'!G72+'декабрь 2014г. по 0,4'!G69</f>
        <v>160</v>
      </c>
      <c r="H72" s="31">
        <f>'декабрь 2014г. по 6-10'!H72+'декабрь 2014г. по 0,4'!H69</f>
        <v>0</v>
      </c>
      <c r="I72" s="31">
        <f>'декабрь 2014г. по 6-10'!I72+'декабрь 2014г. по 0,4'!I69</f>
        <v>0</v>
      </c>
      <c r="J72" s="31">
        <f>'декабрь 2014г. по 6-10'!J72+'декабрь 2014г. по 0,4'!J69</f>
        <v>16</v>
      </c>
      <c r="K72" s="31">
        <f>'декабрь 2014г. по 6-10'!K72+'декабрь 2014г. по 0,4'!K69</f>
        <v>130</v>
      </c>
      <c r="L72" s="31">
        <f>'декабрь 2014г. по 6-10'!L72+'декабрь 2014г. по 0,4'!L69</f>
        <v>0</v>
      </c>
      <c r="M72" s="31">
        <f>'декабрь 2014г. по 6-10'!M72+'декабрь 2014г. по 0,4'!M69</f>
        <v>0</v>
      </c>
      <c r="N72" s="31">
        <f>'декабрь 2014г. по 6-10'!N72+'декабрь 2014г. по 0,4'!N69</f>
        <v>0</v>
      </c>
      <c r="O72" s="31">
        <f>'декабрь 2014г. по 6-10'!O72+'декабрь 2014г. по 0,4'!O69</f>
        <v>0</v>
      </c>
      <c r="P72" s="31">
        <f>'декабрь 2014г. по 6-10'!P72+'декабрь 2014г. по 0,4'!P69</f>
        <v>0</v>
      </c>
      <c r="Q72" s="31">
        <f>'декабрь 2014г. по 6-10'!Q72+'декабрь 2014г. по 0,4'!Q69</f>
        <v>0</v>
      </c>
    </row>
    <row r="73" spans="1:17" ht="12.75" customHeight="1" x14ac:dyDescent="0.2">
      <c r="A73" s="18"/>
      <c r="B73" s="53"/>
      <c r="C73" s="18" t="s">
        <v>155</v>
      </c>
      <c r="D73" s="31">
        <f>'декабрь 2014г. по 6-10'!D73+'декабрь 2014г. по 0,4'!D70</f>
        <v>3</v>
      </c>
      <c r="E73" s="31">
        <f>'декабрь 2014г. по 6-10'!E73+'декабрь 2014г. по 0,4'!E70</f>
        <v>15</v>
      </c>
      <c r="F73" s="31">
        <f>'декабрь 2014г. по 6-10'!F73+'декабрь 2014г. по 0,4'!F70</f>
        <v>3</v>
      </c>
      <c r="G73" s="31">
        <f>'декабрь 2014г. по 6-10'!G73+'декабрь 2014г. по 0,4'!G70</f>
        <v>15</v>
      </c>
      <c r="H73" s="31">
        <f>'декабрь 2014г. по 6-10'!H73+'декабрь 2014г. по 0,4'!H70</f>
        <v>0</v>
      </c>
      <c r="I73" s="31">
        <f>'декабрь 2014г. по 6-10'!I73+'декабрь 2014г. по 0,4'!I70</f>
        <v>0</v>
      </c>
      <c r="J73" s="31">
        <f>'декабрь 2014г. по 6-10'!J73+'декабрь 2014г. по 0,4'!J70</f>
        <v>3</v>
      </c>
      <c r="K73" s="31">
        <f>'декабрь 2014г. по 6-10'!K73+'декабрь 2014г. по 0,4'!K70</f>
        <v>15</v>
      </c>
      <c r="L73" s="31">
        <f>'декабрь 2014г. по 6-10'!L73+'декабрь 2014г. по 0,4'!L70</f>
        <v>0</v>
      </c>
      <c r="M73" s="31">
        <f>'декабрь 2014г. по 6-10'!M73+'декабрь 2014г. по 0,4'!M70</f>
        <v>0</v>
      </c>
      <c r="N73" s="31">
        <f>'декабрь 2014г. по 6-10'!N73+'декабрь 2014г. по 0,4'!N70</f>
        <v>0</v>
      </c>
      <c r="O73" s="31">
        <f>'декабрь 2014г. по 6-10'!O73+'декабрь 2014г. по 0,4'!O70</f>
        <v>0</v>
      </c>
      <c r="P73" s="31">
        <f>'декабрь 2014г. по 6-10'!P73+'декабрь 2014г. по 0,4'!P70</f>
        <v>0</v>
      </c>
      <c r="Q73" s="31">
        <f>'декабрь 2014г. по 6-10'!Q73+'декабрь 2014г. по 0,4'!Q70</f>
        <v>0</v>
      </c>
    </row>
    <row r="74" spans="1:17" ht="12.75" customHeight="1" x14ac:dyDescent="0.2">
      <c r="A74" s="18"/>
      <c r="B74" s="53"/>
      <c r="C74" s="18" t="s">
        <v>154</v>
      </c>
      <c r="D74" s="31">
        <f>'декабрь 2014г. по 6-10'!D74+'декабрь 2014г. по 0,4'!D71</f>
        <v>26</v>
      </c>
      <c r="E74" s="31">
        <f>'декабрь 2014г. по 6-10'!E74+'декабрь 2014г. по 0,4'!E71</f>
        <v>502</v>
      </c>
      <c r="F74" s="31">
        <f>'декабрь 2014г. по 6-10'!F74+'декабрь 2014г. по 0,4'!F71</f>
        <v>23</v>
      </c>
      <c r="G74" s="31">
        <f>'декабрь 2014г. по 6-10'!G74+'декабрь 2014г. по 0,4'!G71</f>
        <v>262</v>
      </c>
      <c r="H74" s="31">
        <f>'декабрь 2014г. по 6-10'!H74+'декабрь 2014г. по 0,4'!H71</f>
        <v>0</v>
      </c>
      <c r="I74" s="31">
        <f>'декабрь 2014г. по 6-10'!I74+'декабрь 2014г. по 0,4'!I71</f>
        <v>0</v>
      </c>
      <c r="J74" s="31">
        <f>'декабрь 2014г. по 6-10'!J74+'декабрь 2014г. по 0,4'!J71</f>
        <v>25</v>
      </c>
      <c r="K74" s="31">
        <f>'декабрь 2014г. по 6-10'!K74+'декабрь 2014г. по 0,4'!K71</f>
        <v>542</v>
      </c>
      <c r="L74" s="31">
        <f>'декабрь 2014г. по 6-10'!L74+'декабрь 2014г. по 0,4'!L71</f>
        <v>0</v>
      </c>
      <c r="M74" s="31">
        <f>'декабрь 2014г. по 6-10'!M74+'декабрь 2014г. по 0,4'!M71</f>
        <v>0</v>
      </c>
      <c r="N74" s="31">
        <f>'декабрь 2014г. по 6-10'!N74+'декабрь 2014г. по 0,4'!N71</f>
        <v>0</v>
      </c>
      <c r="O74" s="31">
        <f>'декабрь 2014г. по 6-10'!O74+'декабрь 2014г. по 0,4'!O71</f>
        <v>0</v>
      </c>
      <c r="P74" s="31">
        <f>'декабрь 2014г. по 6-10'!P74+'декабрь 2014г. по 0,4'!P71</f>
        <v>0</v>
      </c>
      <c r="Q74" s="31">
        <f>'декабрь 2014г. по 6-10'!Q74+'декабрь 2014г. по 0,4'!Q71</f>
        <v>0</v>
      </c>
    </row>
    <row r="75" spans="1:17" ht="12.75" customHeight="1" x14ac:dyDescent="0.2">
      <c r="A75" s="18"/>
      <c r="B75" s="53"/>
      <c r="C75" s="18" t="s">
        <v>147</v>
      </c>
      <c r="D75" s="31">
        <f>'декабрь 2014г. по 6-10'!D75+'декабрь 2014г. по 0,4'!D72</f>
        <v>1</v>
      </c>
      <c r="E75" s="31">
        <f>'декабрь 2014г. по 6-10'!E75+'декабрь 2014г. по 0,4'!E72</f>
        <v>6</v>
      </c>
      <c r="F75" s="31">
        <f>'декабрь 2014г. по 6-10'!F75+'декабрь 2014г. по 0,4'!F72</f>
        <v>1</v>
      </c>
      <c r="G75" s="31">
        <f>'декабрь 2014г. по 6-10'!G75+'декабрь 2014г. по 0,4'!G72</f>
        <v>6</v>
      </c>
      <c r="H75" s="31">
        <f>'декабрь 2014г. по 6-10'!H75+'декабрь 2014г. по 0,4'!H72</f>
        <v>0</v>
      </c>
      <c r="I75" s="31">
        <f>'декабрь 2014г. по 6-10'!I75+'декабрь 2014г. по 0,4'!I72</f>
        <v>0</v>
      </c>
      <c r="J75" s="31">
        <f>'декабрь 2014г. по 6-10'!J75+'декабрь 2014г. по 0,4'!J72</f>
        <v>1</v>
      </c>
      <c r="K75" s="31">
        <f>'декабрь 2014г. по 6-10'!K75+'декабрь 2014г. по 0,4'!K72</f>
        <v>6</v>
      </c>
      <c r="L75" s="31">
        <f>'декабрь 2014г. по 6-10'!L75+'декабрь 2014г. по 0,4'!L72</f>
        <v>0</v>
      </c>
      <c r="M75" s="31">
        <f>'декабрь 2014г. по 6-10'!M75+'декабрь 2014г. по 0,4'!M72</f>
        <v>0</v>
      </c>
      <c r="N75" s="31">
        <f>'декабрь 2014г. по 6-10'!N75+'декабрь 2014г. по 0,4'!N72</f>
        <v>0</v>
      </c>
      <c r="O75" s="31">
        <f>'декабрь 2014г. по 6-10'!O75+'декабрь 2014г. по 0,4'!O72</f>
        <v>0</v>
      </c>
      <c r="P75" s="31">
        <f>'декабрь 2014г. по 6-10'!P75+'декабрь 2014г. по 0,4'!P72</f>
        <v>0</v>
      </c>
      <c r="Q75" s="31">
        <f>'декабрь 2014г. по 6-10'!Q75+'декабрь 2014г. по 0,4'!Q72</f>
        <v>0</v>
      </c>
    </row>
    <row r="76" spans="1:17" ht="12.75" customHeight="1" x14ac:dyDescent="0.2">
      <c r="A76" s="18"/>
      <c r="B76" s="53"/>
      <c r="C76" s="18" t="s">
        <v>156</v>
      </c>
      <c r="D76" s="31">
        <f>'декабрь 2014г. по 6-10'!D76+'декабрь 2014г. по 0,4'!D73</f>
        <v>12</v>
      </c>
      <c r="E76" s="31">
        <f>'декабрь 2014г. по 6-10'!E76+'декабрь 2014г. по 0,4'!E73</f>
        <v>92</v>
      </c>
      <c r="F76" s="31">
        <f>'декабрь 2014г. по 6-10'!F76+'декабрь 2014г. по 0,4'!F73</f>
        <v>0</v>
      </c>
      <c r="G76" s="31">
        <f>'декабрь 2014г. по 6-10'!G76+'декабрь 2014г. по 0,4'!G73</f>
        <v>0</v>
      </c>
      <c r="H76" s="31">
        <f>'декабрь 2014г. по 6-10'!H76+'декабрь 2014г. по 0,4'!H73</f>
        <v>0</v>
      </c>
      <c r="I76" s="31">
        <f>'декабрь 2014г. по 6-10'!I76+'декабрь 2014г. по 0,4'!I73</f>
        <v>0</v>
      </c>
      <c r="J76" s="31">
        <f>'декабрь 2014г. по 6-10'!J76+'декабрь 2014г. по 0,4'!J73</f>
        <v>29</v>
      </c>
      <c r="K76" s="31">
        <f>'декабрь 2014г. по 6-10'!K76+'декабрь 2014г. по 0,4'!K73</f>
        <v>198</v>
      </c>
      <c r="L76" s="31">
        <f>'декабрь 2014г. по 6-10'!L76+'декабрь 2014г. по 0,4'!L73</f>
        <v>0</v>
      </c>
      <c r="M76" s="31">
        <f>'декабрь 2014г. по 6-10'!M76+'декабрь 2014г. по 0,4'!M73</f>
        <v>0</v>
      </c>
      <c r="N76" s="31">
        <f>'декабрь 2014г. по 6-10'!N76+'декабрь 2014г. по 0,4'!N73</f>
        <v>0</v>
      </c>
      <c r="O76" s="31">
        <f>'декабрь 2014г. по 6-10'!O76+'декабрь 2014г. по 0,4'!O73</f>
        <v>0</v>
      </c>
      <c r="P76" s="31">
        <f>'декабрь 2014г. по 6-10'!P76+'декабрь 2014г. по 0,4'!P73</f>
        <v>0</v>
      </c>
      <c r="Q76" s="31">
        <f>'декабрь 2014г. по 6-10'!Q76+'декабрь 2014г. по 0,4'!Q73</f>
        <v>0</v>
      </c>
    </row>
    <row r="77" spans="1:17" ht="12.75" customHeight="1" x14ac:dyDescent="0.2">
      <c r="A77" s="18"/>
      <c r="B77" s="53"/>
      <c r="C77" s="18" t="s">
        <v>157</v>
      </c>
      <c r="D77" s="31">
        <f>'декабрь 2014г. по 6-10'!D77+'декабрь 2014г. по 0,4'!D74</f>
        <v>17</v>
      </c>
      <c r="E77" s="31">
        <f>'декабрь 2014г. по 6-10'!E77+'декабрь 2014г. по 0,4'!E74</f>
        <v>438</v>
      </c>
      <c r="F77" s="31">
        <f>'декабрь 2014г. по 6-10'!F77+'декабрь 2014г. по 0,4'!F74</f>
        <v>16</v>
      </c>
      <c r="G77" s="31">
        <f>'декабрь 2014г. по 6-10'!G77+'декабрь 2014г. по 0,4'!G74</f>
        <v>138</v>
      </c>
      <c r="H77" s="31">
        <f>'декабрь 2014г. по 6-10'!H77+'декабрь 2014г. по 0,4'!H74</f>
        <v>0</v>
      </c>
      <c r="I77" s="31">
        <f>'декабрь 2014г. по 6-10'!I77+'декабрь 2014г. по 0,4'!I74</f>
        <v>0</v>
      </c>
      <c r="J77" s="31">
        <f>'декабрь 2014г. по 6-10'!J77+'декабрь 2014г. по 0,4'!J74</f>
        <v>10</v>
      </c>
      <c r="K77" s="31">
        <f>'декабрь 2014г. по 6-10'!K77+'декабрь 2014г. по 0,4'!K74</f>
        <v>60</v>
      </c>
      <c r="L77" s="31">
        <f>'декабрь 2014г. по 6-10'!L77+'декабрь 2014г. по 0,4'!L74</f>
        <v>0</v>
      </c>
      <c r="M77" s="31">
        <f>'декабрь 2014г. по 6-10'!M77+'декабрь 2014г. по 0,4'!M74</f>
        <v>0</v>
      </c>
      <c r="N77" s="31">
        <f>'декабрь 2014г. по 6-10'!N77+'декабрь 2014г. по 0,4'!N74</f>
        <v>0</v>
      </c>
      <c r="O77" s="31">
        <f>'декабрь 2014г. по 6-10'!O77+'декабрь 2014г. по 0,4'!O74</f>
        <v>0</v>
      </c>
      <c r="P77" s="31">
        <f>'декабрь 2014г. по 6-10'!P77+'декабрь 2014г. по 0,4'!P74</f>
        <v>0</v>
      </c>
      <c r="Q77" s="31">
        <f>'декабрь 2014г. по 6-10'!Q77+'декабрь 2014г. по 0,4'!Q74</f>
        <v>0</v>
      </c>
    </row>
    <row r="78" spans="1:17" ht="12.75" customHeight="1" x14ac:dyDescent="0.2">
      <c r="A78" s="18"/>
      <c r="B78" s="53"/>
      <c r="C78" s="18" t="s">
        <v>158</v>
      </c>
      <c r="D78" s="31">
        <f>'декабрь 2014г. по 6-10'!D78+'декабрь 2014г. по 0,4'!D75</f>
        <v>8</v>
      </c>
      <c r="E78" s="31">
        <f>'декабрь 2014г. по 6-10'!E78+'декабрь 2014г. по 0,4'!E75</f>
        <v>446</v>
      </c>
      <c r="F78" s="31">
        <f>'декабрь 2014г. по 6-10'!F78+'декабрь 2014г. по 0,4'!F75</f>
        <v>6</v>
      </c>
      <c r="G78" s="31">
        <f>'декабрь 2014г. по 6-10'!G78+'декабрь 2014г. по 0,4'!G75</f>
        <v>398.5</v>
      </c>
      <c r="H78" s="31">
        <f>'декабрь 2014г. по 6-10'!H78+'декабрь 2014г. по 0,4'!H75</f>
        <v>0</v>
      </c>
      <c r="I78" s="31">
        <f>'декабрь 2014г. по 6-10'!I78+'декабрь 2014г. по 0,4'!I75</f>
        <v>0</v>
      </c>
      <c r="J78" s="31">
        <f>'декабрь 2014г. по 6-10'!J78+'декабрь 2014г. по 0,4'!J75</f>
        <v>27</v>
      </c>
      <c r="K78" s="31">
        <f>'декабрь 2014г. по 6-10'!K78+'декабрь 2014г. по 0,4'!K75</f>
        <v>197</v>
      </c>
      <c r="L78" s="31">
        <f>'декабрь 2014г. по 6-10'!L78+'декабрь 2014г. по 0,4'!L75</f>
        <v>0</v>
      </c>
      <c r="M78" s="31">
        <f>'декабрь 2014г. по 6-10'!M78+'декабрь 2014г. по 0,4'!M75</f>
        <v>0</v>
      </c>
      <c r="N78" s="31">
        <f>'декабрь 2014г. по 6-10'!N78+'декабрь 2014г. по 0,4'!N75</f>
        <v>0</v>
      </c>
      <c r="O78" s="31">
        <f>'декабрь 2014г. по 6-10'!O78+'декабрь 2014г. по 0,4'!O75</f>
        <v>0</v>
      </c>
      <c r="P78" s="31">
        <f>'декабрь 2014г. по 6-10'!P78+'декабрь 2014г. по 0,4'!P75</f>
        <v>0</v>
      </c>
      <c r="Q78" s="31">
        <f>'декабрь 2014г. по 6-10'!Q78+'декабрь 2014г. по 0,4'!Q75</f>
        <v>0</v>
      </c>
    </row>
    <row r="79" spans="1:17" ht="12.75" customHeight="1" x14ac:dyDescent="0.2">
      <c r="A79" s="18"/>
      <c r="B79" s="53"/>
      <c r="C79" s="18" t="s">
        <v>159</v>
      </c>
      <c r="D79" s="31">
        <f>'декабрь 2014г. по 6-10'!D79+'декабрь 2014г. по 0,4'!D76</f>
        <v>5</v>
      </c>
      <c r="E79" s="31">
        <f>'декабрь 2014г. по 6-10'!E79+'декабрь 2014г. по 0,4'!E76</f>
        <v>121</v>
      </c>
      <c r="F79" s="31">
        <f>'декабрь 2014г. по 6-10'!F79+'декабрь 2014г. по 0,4'!F76</f>
        <v>1</v>
      </c>
      <c r="G79" s="31">
        <f>'декабрь 2014г. по 6-10'!G79+'декабрь 2014г. по 0,4'!G76</f>
        <v>90</v>
      </c>
      <c r="H79" s="31">
        <f>'декабрь 2014г. по 6-10'!H79+'декабрь 2014г. по 0,4'!H76</f>
        <v>0</v>
      </c>
      <c r="I79" s="31">
        <f>'декабрь 2014г. по 6-10'!I79+'декабрь 2014г. по 0,4'!I76</f>
        <v>0</v>
      </c>
      <c r="J79" s="31">
        <f>'декабрь 2014г. по 6-10'!J79+'декабрь 2014г. по 0,4'!J76</f>
        <v>5</v>
      </c>
      <c r="K79" s="31">
        <f>'декабрь 2014г. по 6-10'!K79+'декабрь 2014г. по 0,4'!K76</f>
        <v>121</v>
      </c>
      <c r="L79" s="31">
        <f>'декабрь 2014г. по 6-10'!L79+'декабрь 2014г. по 0,4'!L76</f>
        <v>0</v>
      </c>
      <c r="M79" s="31">
        <f>'декабрь 2014г. по 6-10'!M79+'декабрь 2014г. по 0,4'!M76</f>
        <v>0</v>
      </c>
      <c r="N79" s="31">
        <f>'декабрь 2014г. по 6-10'!N79+'декабрь 2014г. по 0,4'!N76</f>
        <v>0</v>
      </c>
      <c r="O79" s="31">
        <f>'декабрь 2014г. по 6-10'!O79+'декабрь 2014г. по 0,4'!O76</f>
        <v>0</v>
      </c>
      <c r="P79" s="31">
        <f>'декабрь 2014г. по 6-10'!P79+'декабрь 2014г. по 0,4'!P76</f>
        <v>0</v>
      </c>
      <c r="Q79" s="31">
        <f>'декабрь 2014г. по 6-10'!Q79+'декабрь 2014г. по 0,4'!Q76</f>
        <v>0</v>
      </c>
    </row>
    <row r="80" spans="1:17" ht="12.75" customHeight="1" x14ac:dyDescent="0.2">
      <c r="A80" s="18"/>
      <c r="B80" s="53"/>
      <c r="C80" s="18" t="s">
        <v>160</v>
      </c>
      <c r="D80" s="31">
        <f>'декабрь 2014г. по 6-10'!D80+'декабрь 2014г. по 0,4'!D77</f>
        <v>1</v>
      </c>
      <c r="E80" s="31">
        <f>'декабрь 2014г. по 6-10'!E80+'декабрь 2014г. по 0,4'!E77</f>
        <v>7</v>
      </c>
      <c r="F80" s="31">
        <f>'декабрь 2014г. по 6-10'!F80+'декабрь 2014г. по 0,4'!F77</f>
        <v>1</v>
      </c>
      <c r="G80" s="31">
        <f>'декабрь 2014г. по 6-10'!G80+'декабрь 2014г. по 0,4'!G77</f>
        <v>7</v>
      </c>
      <c r="H80" s="31">
        <f>'декабрь 2014г. по 6-10'!H80+'декабрь 2014г. по 0,4'!H77</f>
        <v>0</v>
      </c>
      <c r="I80" s="31">
        <f>'декабрь 2014г. по 6-10'!I80+'декабрь 2014г. по 0,4'!I77</f>
        <v>0</v>
      </c>
      <c r="J80" s="31">
        <f>'декабрь 2014г. по 6-10'!J80+'декабрь 2014г. по 0,4'!J77</f>
        <v>1</v>
      </c>
      <c r="K80" s="31">
        <f>'декабрь 2014г. по 6-10'!K80+'декабрь 2014г. по 0,4'!K77</f>
        <v>7</v>
      </c>
      <c r="L80" s="31">
        <f>'декабрь 2014г. по 6-10'!L80+'декабрь 2014г. по 0,4'!L77</f>
        <v>0</v>
      </c>
      <c r="M80" s="31">
        <f>'декабрь 2014г. по 6-10'!M80+'декабрь 2014г. по 0,4'!M77</f>
        <v>0</v>
      </c>
      <c r="N80" s="31">
        <f>'декабрь 2014г. по 6-10'!N80+'декабрь 2014г. по 0,4'!N77</f>
        <v>0</v>
      </c>
      <c r="O80" s="31">
        <f>'декабрь 2014г. по 6-10'!O80+'декабрь 2014г. по 0,4'!O77</f>
        <v>0</v>
      </c>
      <c r="P80" s="31">
        <f>'декабрь 2014г. по 6-10'!P80+'декабрь 2014г. по 0,4'!P77</f>
        <v>0</v>
      </c>
      <c r="Q80" s="31">
        <f>'декабрь 2014г. по 6-10'!Q80+'декабрь 2014г. по 0,4'!Q77</f>
        <v>0</v>
      </c>
    </row>
    <row r="81" spans="1:17" ht="12.75" customHeight="1" x14ac:dyDescent="0.2">
      <c r="A81" s="18"/>
      <c r="B81" s="53"/>
      <c r="C81" s="18" t="s">
        <v>161</v>
      </c>
      <c r="D81" s="31">
        <f>'декабрь 2014г. по 6-10'!D81+'декабрь 2014г. по 0,4'!D78</f>
        <v>11</v>
      </c>
      <c r="E81" s="31">
        <f>'декабрь 2014г. по 6-10'!E81+'декабрь 2014г. по 0,4'!E78</f>
        <v>716</v>
      </c>
      <c r="F81" s="31">
        <f>'декабрь 2014г. по 6-10'!F81+'декабрь 2014г. по 0,4'!F78</f>
        <v>9</v>
      </c>
      <c r="G81" s="31">
        <f>'декабрь 2014г. по 6-10'!G81+'декабрь 2014г. по 0,4'!G78</f>
        <v>272</v>
      </c>
      <c r="H81" s="31">
        <f>'декабрь 2014г. по 6-10'!H81+'декабрь 2014г. по 0,4'!H78</f>
        <v>0</v>
      </c>
      <c r="I81" s="31">
        <f>'декабрь 2014г. по 6-10'!I81+'декабрь 2014г. по 0,4'!I78</f>
        <v>0</v>
      </c>
      <c r="J81" s="31">
        <f>'декабрь 2014г. по 6-10'!J81+'декабрь 2014г. по 0,4'!J78</f>
        <v>8</v>
      </c>
      <c r="K81" s="31">
        <f>'декабрь 2014г. по 6-10'!K81+'декабрь 2014г. по 0,4'!K78</f>
        <v>208</v>
      </c>
      <c r="L81" s="31">
        <f>'декабрь 2014г. по 6-10'!L81+'декабрь 2014г. по 0,4'!L78</f>
        <v>0</v>
      </c>
      <c r="M81" s="31">
        <f>'декабрь 2014г. по 6-10'!M81+'декабрь 2014г. по 0,4'!M78</f>
        <v>0</v>
      </c>
      <c r="N81" s="31">
        <f>'декабрь 2014г. по 6-10'!N81+'декабрь 2014г. по 0,4'!N78</f>
        <v>0</v>
      </c>
      <c r="O81" s="31">
        <f>'декабрь 2014г. по 6-10'!O81+'декабрь 2014г. по 0,4'!O78</f>
        <v>0</v>
      </c>
      <c r="P81" s="31">
        <f>'декабрь 2014г. по 6-10'!P81+'декабрь 2014г. по 0,4'!P78</f>
        <v>0</v>
      </c>
      <c r="Q81" s="31">
        <f>'декабрь 2014г. по 6-10'!Q81+'декабрь 2014г. по 0,4'!Q78</f>
        <v>0</v>
      </c>
    </row>
    <row r="82" spans="1:17" ht="12.75" customHeight="1" x14ac:dyDescent="0.2">
      <c r="A82" s="18"/>
      <c r="B82" s="53"/>
      <c r="C82" s="18" t="s">
        <v>162</v>
      </c>
      <c r="D82" s="31">
        <f>'декабрь 2014г. по 6-10'!D82+'декабрь 2014г. по 0,4'!D79</f>
        <v>2</v>
      </c>
      <c r="E82" s="31">
        <f>'декабрь 2014г. по 6-10'!E82+'декабрь 2014г. по 0,4'!E79</f>
        <v>30</v>
      </c>
      <c r="F82" s="31">
        <f>'декабрь 2014г. по 6-10'!F82+'декабрь 2014г. по 0,4'!F79</f>
        <v>2</v>
      </c>
      <c r="G82" s="31">
        <f>'декабрь 2014г. по 6-10'!G82+'декабрь 2014г. по 0,4'!G79</f>
        <v>30</v>
      </c>
      <c r="H82" s="31">
        <f>'декабрь 2014г. по 6-10'!H82+'декабрь 2014г. по 0,4'!H79</f>
        <v>0</v>
      </c>
      <c r="I82" s="31">
        <f>'декабрь 2014г. по 6-10'!I82+'декабрь 2014г. по 0,4'!I79</f>
        <v>0</v>
      </c>
      <c r="J82" s="31">
        <f>'декабрь 2014г. по 6-10'!J82+'декабрь 2014г. по 0,4'!J79</f>
        <v>2</v>
      </c>
      <c r="K82" s="31">
        <f>'декабрь 2014г. по 6-10'!K82+'декабрь 2014г. по 0,4'!K79</f>
        <v>30</v>
      </c>
      <c r="L82" s="31">
        <f>'декабрь 2014г. по 6-10'!L82+'декабрь 2014г. по 0,4'!L79</f>
        <v>0</v>
      </c>
      <c r="M82" s="31">
        <f>'декабрь 2014г. по 6-10'!M82+'декабрь 2014г. по 0,4'!M79</f>
        <v>0</v>
      </c>
      <c r="N82" s="31">
        <f>'декабрь 2014г. по 6-10'!N82+'декабрь 2014г. по 0,4'!N79</f>
        <v>0</v>
      </c>
      <c r="O82" s="31">
        <f>'декабрь 2014г. по 6-10'!O82+'декабрь 2014г. по 0,4'!O79</f>
        <v>0</v>
      </c>
      <c r="P82" s="31">
        <f>'декабрь 2014г. по 6-10'!P82+'декабрь 2014г. по 0,4'!P79</f>
        <v>0</v>
      </c>
      <c r="Q82" s="31">
        <f>'декабрь 2014г. по 6-10'!Q82+'декабрь 2014г. по 0,4'!Q79</f>
        <v>0</v>
      </c>
    </row>
    <row r="83" spans="1:17" ht="12.75" customHeight="1" x14ac:dyDescent="0.2">
      <c r="A83" s="18"/>
      <c r="B83" s="53"/>
      <c r="C83" s="18" t="s">
        <v>163</v>
      </c>
      <c r="D83" s="31">
        <f>'декабрь 2014г. по 6-10'!D83+'декабрь 2014г. по 0,4'!D80</f>
        <v>9</v>
      </c>
      <c r="E83" s="31">
        <f>'декабрь 2014г. по 6-10'!E83+'декабрь 2014г. по 0,4'!E80</f>
        <v>165</v>
      </c>
      <c r="F83" s="31">
        <f>'декабрь 2014г. по 6-10'!F83+'декабрь 2014г. по 0,4'!F80</f>
        <v>5</v>
      </c>
      <c r="G83" s="31">
        <f>'декабрь 2014г. по 6-10'!G83+'декабрь 2014г. по 0,4'!G80</f>
        <v>125</v>
      </c>
      <c r="H83" s="31">
        <f>'декабрь 2014г. по 6-10'!H83+'декабрь 2014г. по 0,4'!H80</f>
        <v>0</v>
      </c>
      <c r="I83" s="31">
        <f>'декабрь 2014г. по 6-10'!I83+'декабрь 2014г. по 0,4'!I80</f>
        <v>0</v>
      </c>
      <c r="J83" s="31">
        <f>'декабрь 2014г. по 6-10'!J83+'декабрь 2014г. по 0,4'!J80</f>
        <v>9</v>
      </c>
      <c r="K83" s="31">
        <f>'декабрь 2014г. по 6-10'!K83+'декабрь 2014г. по 0,4'!K80</f>
        <v>165</v>
      </c>
      <c r="L83" s="31">
        <f>'декабрь 2014г. по 6-10'!L83+'декабрь 2014г. по 0,4'!L80</f>
        <v>0</v>
      </c>
      <c r="M83" s="31">
        <f>'декабрь 2014г. по 6-10'!M83+'декабрь 2014г. по 0,4'!M80</f>
        <v>0</v>
      </c>
      <c r="N83" s="31">
        <f>'декабрь 2014г. по 6-10'!N83+'декабрь 2014г. по 0,4'!N80</f>
        <v>0</v>
      </c>
      <c r="O83" s="31">
        <f>'декабрь 2014г. по 6-10'!O83+'декабрь 2014г. по 0,4'!O80</f>
        <v>0</v>
      </c>
      <c r="P83" s="31">
        <f>'декабрь 2014г. по 6-10'!P83+'декабрь 2014г. по 0,4'!P80</f>
        <v>0</v>
      </c>
      <c r="Q83" s="31">
        <f>'декабрь 2014г. по 6-10'!Q83+'декабрь 2014г. по 0,4'!Q80</f>
        <v>0</v>
      </c>
    </row>
    <row r="84" spans="1:17" ht="12.75" customHeight="1" x14ac:dyDescent="0.2">
      <c r="A84" s="18"/>
      <c r="B84" s="53"/>
      <c r="C84" s="18" t="s">
        <v>352</v>
      </c>
      <c r="D84" s="31">
        <f>'декабрь 2014г. по 6-10'!D84+'декабрь 2014г. по 0,4'!D81</f>
        <v>7</v>
      </c>
      <c r="E84" s="31">
        <f>'декабрь 2014г. по 6-10'!E84+'декабрь 2014г. по 0,4'!E81</f>
        <v>55</v>
      </c>
      <c r="F84" s="31">
        <f>'декабрь 2014г. по 6-10'!F84+'декабрь 2014г. по 0,4'!F81</f>
        <v>7</v>
      </c>
      <c r="G84" s="31">
        <f>'декабрь 2014г. по 6-10'!G84+'декабрь 2014г. по 0,4'!G81</f>
        <v>55</v>
      </c>
      <c r="H84" s="31">
        <f>'декабрь 2014г. по 6-10'!H84+'декабрь 2014г. по 0,4'!H81</f>
        <v>0</v>
      </c>
      <c r="I84" s="31">
        <f>'декабрь 2014г. по 6-10'!I84+'декабрь 2014г. по 0,4'!I81</f>
        <v>0</v>
      </c>
      <c r="J84" s="31">
        <f>'декабрь 2014г. по 6-10'!J84+'декабрь 2014г. по 0,4'!J81</f>
        <v>7</v>
      </c>
      <c r="K84" s="31">
        <f>'декабрь 2014г. по 6-10'!K84+'декабрь 2014г. по 0,4'!K81</f>
        <v>55</v>
      </c>
      <c r="L84" s="31">
        <f>'декабрь 2014г. по 6-10'!L84+'декабрь 2014г. по 0,4'!L81</f>
        <v>0</v>
      </c>
      <c r="M84" s="31">
        <f>'декабрь 2014г. по 6-10'!M84+'декабрь 2014г. по 0,4'!M81</f>
        <v>0</v>
      </c>
      <c r="N84" s="31">
        <f>'декабрь 2014г. по 6-10'!N84+'декабрь 2014г. по 0,4'!N81</f>
        <v>0</v>
      </c>
      <c r="O84" s="31">
        <f>'декабрь 2014г. по 6-10'!O84+'декабрь 2014г. по 0,4'!O81</f>
        <v>0</v>
      </c>
      <c r="P84" s="31">
        <f>'декабрь 2014г. по 6-10'!P84+'декабрь 2014г. по 0,4'!P81</f>
        <v>0</v>
      </c>
      <c r="Q84" s="31">
        <f>'декабрь 2014г. по 6-10'!Q84+'декабрь 2014г. по 0,4'!Q81</f>
        <v>0</v>
      </c>
    </row>
    <row r="85" spans="1:17" ht="12.75" customHeight="1" x14ac:dyDescent="0.2">
      <c r="A85" s="18"/>
      <c r="B85" s="53"/>
      <c r="C85" s="18" t="s">
        <v>171</v>
      </c>
      <c r="D85" s="31">
        <f>'декабрь 2014г. по 6-10'!D85+'декабрь 2014г. по 0,4'!D82</f>
        <v>1</v>
      </c>
      <c r="E85" s="31">
        <f>'декабрь 2014г. по 6-10'!E85+'декабрь 2014г. по 0,4'!E82</f>
        <v>4</v>
      </c>
      <c r="F85" s="31">
        <f>'декабрь 2014г. по 6-10'!F85+'декабрь 2014г. по 0,4'!F82</f>
        <v>1</v>
      </c>
      <c r="G85" s="31">
        <f>'декабрь 2014г. по 6-10'!G85+'декабрь 2014г. по 0,4'!G82</f>
        <v>4</v>
      </c>
      <c r="H85" s="31">
        <f>'декабрь 2014г. по 6-10'!H85+'декабрь 2014г. по 0,4'!H82</f>
        <v>0</v>
      </c>
      <c r="I85" s="31">
        <f>'декабрь 2014г. по 6-10'!I85+'декабрь 2014г. по 0,4'!I82</f>
        <v>0</v>
      </c>
      <c r="J85" s="31">
        <f>'декабрь 2014г. по 6-10'!J85+'декабрь 2014г. по 0,4'!J82</f>
        <v>1</v>
      </c>
      <c r="K85" s="31">
        <f>'декабрь 2014г. по 6-10'!K85+'декабрь 2014г. по 0,4'!K82</f>
        <v>4</v>
      </c>
      <c r="L85" s="31">
        <f>'декабрь 2014г. по 6-10'!L85+'декабрь 2014г. по 0,4'!L82</f>
        <v>0</v>
      </c>
      <c r="M85" s="31">
        <f>'декабрь 2014г. по 6-10'!M85+'декабрь 2014г. по 0,4'!M82</f>
        <v>0</v>
      </c>
      <c r="N85" s="31">
        <f>'декабрь 2014г. по 6-10'!N85+'декабрь 2014г. по 0,4'!N82</f>
        <v>0</v>
      </c>
      <c r="O85" s="31">
        <f>'декабрь 2014г. по 6-10'!O85+'декабрь 2014г. по 0,4'!O82</f>
        <v>0</v>
      </c>
      <c r="P85" s="31">
        <f>'декабрь 2014г. по 6-10'!P85+'декабрь 2014г. по 0,4'!P82</f>
        <v>0</v>
      </c>
      <c r="Q85" s="31">
        <f>'декабрь 2014г. по 6-10'!Q85+'декабрь 2014г. по 0,4'!Q82</f>
        <v>0</v>
      </c>
    </row>
    <row r="86" spans="1:17" ht="12.75" customHeight="1" x14ac:dyDescent="0.2">
      <c r="A86" s="18"/>
      <c r="B86" s="53"/>
      <c r="C86" s="18" t="s">
        <v>164</v>
      </c>
      <c r="D86" s="31">
        <f>'декабрь 2014г. по 6-10'!D86+'декабрь 2014г. по 0,4'!D83</f>
        <v>11</v>
      </c>
      <c r="E86" s="31">
        <f>'декабрь 2014г. по 6-10'!E86+'декабрь 2014г. по 0,4'!E83</f>
        <v>272</v>
      </c>
      <c r="F86" s="31">
        <f>'декабрь 2014г. по 6-10'!F86+'декабрь 2014г. по 0,4'!F83</f>
        <v>8</v>
      </c>
      <c r="G86" s="31">
        <f>'декабрь 2014г. по 6-10'!G86+'декабрь 2014г. по 0,4'!G83</f>
        <v>44</v>
      </c>
      <c r="H86" s="31">
        <f>'декабрь 2014г. по 6-10'!H86+'декабрь 2014г. по 0,4'!H83</f>
        <v>0</v>
      </c>
      <c r="I86" s="31">
        <f>'декабрь 2014г. по 6-10'!I86+'декабрь 2014г. по 0,4'!I83</f>
        <v>0</v>
      </c>
      <c r="J86" s="31">
        <f>'декабрь 2014г. по 6-10'!J86+'декабрь 2014г. по 0,4'!J83</f>
        <v>11</v>
      </c>
      <c r="K86" s="31">
        <f>'декабрь 2014г. по 6-10'!K86+'декабрь 2014г. по 0,4'!K83</f>
        <v>272</v>
      </c>
      <c r="L86" s="31">
        <f>'декабрь 2014г. по 6-10'!L86+'декабрь 2014г. по 0,4'!L83</f>
        <v>0</v>
      </c>
      <c r="M86" s="31">
        <f>'декабрь 2014г. по 6-10'!M86+'декабрь 2014г. по 0,4'!M83</f>
        <v>0</v>
      </c>
      <c r="N86" s="31">
        <f>'декабрь 2014г. по 6-10'!N86+'декабрь 2014г. по 0,4'!N83</f>
        <v>0</v>
      </c>
      <c r="O86" s="31">
        <f>'декабрь 2014г. по 6-10'!O86+'декабрь 2014г. по 0,4'!O83</f>
        <v>0</v>
      </c>
      <c r="P86" s="31">
        <f>'декабрь 2014г. по 6-10'!P86+'декабрь 2014г. по 0,4'!P83</f>
        <v>0</v>
      </c>
      <c r="Q86" s="31">
        <f>'декабрь 2014г. по 6-10'!Q86+'декабрь 2014г. по 0,4'!Q83</f>
        <v>0</v>
      </c>
    </row>
    <row r="87" spans="1:17" ht="12.75" customHeight="1" x14ac:dyDescent="0.2">
      <c r="A87" s="18"/>
      <c r="B87" s="53"/>
      <c r="C87" s="18" t="s">
        <v>357</v>
      </c>
      <c r="D87" s="31">
        <f>'декабрь 2014г. по 6-10'!D87+'декабрь 2014г. по 0,4'!D84</f>
        <v>4</v>
      </c>
      <c r="E87" s="31">
        <f>'декабрь 2014г. по 6-10'!E87+'декабрь 2014г. по 0,4'!E84</f>
        <v>345</v>
      </c>
      <c r="F87" s="31">
        <f>'декабрь 2014г. по 6-10'!F87+'декабрь 2014г. по 0,4'!F84</f>
        <v>1</v>
      </c>
      <c r="G87" s="31">
        <f>'декабрь 2014г. по 6-10'!G87+'декабрь 2014г. по 0,4'!G84</f>
        <v>5</v>
      </c>
      <c r="H87" s="31">
        <f>'декабрь 2014г. по 6-10'!H87+'декабрь 2014г. по 0,4'!H84</f>
        <v>0</v>
      </c>
      <c r="I87" s="31">
        <f>'декабрь 2014г. по 6-10'!I87+'декабрь 2014г. по 0,4'!I84</f>
        <v>0</v>
      </c>
      <c r="J87" s="31">
        <f>'декабрь 2014г. по 6-10'!J87+'декабрь 2014г. по 0,4'!J84</f>
        <v>4</v>
      </c>
      <c r="K87" s="31">
        <f>'декабрь 2014г. по 6-10'!K87+'декабрь 2014г. по 0,4'!K84</f>
        <v>345</v>
      </c>
      <c r="L87" s="31">
        <f>'декабрь 2014г. по 6-10'!L87+'декабрь 2014г. по 0,4'!L84</f>
        <v>0</v>
      </c>
      <c r="M87" s="31">
        <f>'декабрь 2014г. по 6-10'!M87+'декабрь 2014г. по 0,4'!M84</f>
        <v>0</v>
      </c>
      <c r="N87" s="31">
        <f>'декабрь 2014г. по 6-10'!N87+'декабрь 2014г. по 0,4'!N84</f>
        <v>0</v>
      </c>
      <c r="O87" s="31">
        <f>'декабрь 2014г. по 6-10'!O87+'декабрь 2014г. по 0,4'!O84</f>
        <v>0</v>
      </c>
      <c r="P87" s="31">
        <f>'декабрь 2014г. по 6-10'!P87+'декабрь 2014г. по 0,4'!P84</f>
        <v>0</v>
      </c>
      <c r="Q87" s="31">
        <f>'декабрь 2014г. по 6-10'!Q87+'декабрь 2014г. по 0,4'!Q84</f>
        <v>0</v>
      </c>
    </row>
    <row r="88" spans="1:17" ht="12.75" customHeight="1" x14ac:dyDescent="0.2">
      <c r="A88" s="18"/>
      <c r="B88" s="53"/>
      <c r="C88" s="18" t="s">
        <v>165</v>
      </c>
      <c r="D88" s="31">
        <f>'декабрь 2014г. по 6-10'!D88+'декабрь 2014г. по 0,4'!D85</f>
        <v>4</v>
      </c>
      <c r="E88" s="31">
        <f>'декабрь 2014г. по 6-10'!E88+'декабрь 2014г. по 0,4'!E85</f>
        <v>95</v>
      </c>
      <c r="F88" s="31">
        <f>'декабрь 2014г. по 6-10'!F88+'декабрь 2014г. по 0,4'!F85</f>
        <v>1</v>
      </c>
      <c r="G88" s="31">
        <f>'декабрь 2014г. по 6-10'!G88+'декабрь 2014г. по 0,4'!G85</f>
        <v>15</v>
      </c>
      <c r="H88" s="31">
        <f>'декабрь 2014г. по 6-10'!H88+'декабрь 2014г. по 0,4'!H85</f>
        <v>0</v>
      </c>
      <c r="I88" s="31">
        <f>'декабрь 2014г. по 6-10'!I88+'декабрь 2014г. по 0,4'!I85</f>
        <v>0</v>
      </c>
      <c r="J88" s="31">
        <f>'декабрь 2014г. по 6-10'!J88+'декабрь 2014г. по 0,4'!J85</f>
        <v>4</v>
      </c>
      <c r="K88" s="31">
        <f>'декабрь 2014г. по 6-10'!K88+'декабрь 2014г. по 0,4'!K85</f>
        <v>95</v>
      </c>
      <c r="L88" s="31">
        <f>'декабрь 2014г. по 6-10'!L88+'декабрь 2014г. по 0,4'!L85</f>
        <v>0</v>
      </c>
      <c r="M88" s="31">
        <f>'декабрь 2014г. по 6-10'!M88+'декабрь 2014г. по 0,4'!M85</f>
        <v>0</v>
      </c>
      <c r="N88" s="31">
        <f>'декабрь 2014г. по 6-10'!N88+'декабрь 2014г. по 0,4'!N85</f>
        <v>0</v>
      </c>
      <c r="O88" s="31">
        <f>'декабрь 2014г. по 6-10'!O88+'декабрь 2014г. по 0,4'!O85</f>
        <v>0</v>
      </c>
      <c r="P88" s="31">
        <f>'декабрь 2014г. по 6-10'!P88+'декабрь 2014г. по 0,4'!P85</f>
        <v>0</v>
      </c>
      <c r="Q88" s="31">
        <f>'декабрь 2014г. по 6-10'!Q88+'декабрь 2014г. по 0,4'!Q85</f>
        <v>0</v>
      </c>
    </row>
    <row r="89" spans="1:17" ht="12.75" customHeight="1" x14ac:dyDescent="0.2">
      <c r="A89" s="18"/>
      <c r="B89" s="53"/>
      <c r="C89" s="18" t="s">
        <v>166</v>
      </c>
      <c r="D89" s="31">
        <f>'декабрь 2014г. по 6-10'!D89+'декабрь 2014г. по 0,4'!D86</f>
        <v>3</v>
      </c>
      <c r="E89" s="31">
        <f>'декабрь 2014г. по 6-10'!E89+'декабрь 2014г. по 0,4'!E86</f>
        <v>20</v>
      </c>
      <c r="F89" s="31">
        <f>'декабрь 2014г. по 6-10'!F89+'декабрь 2014г. по 0,4'!F86</f>
        <v>0</v>
      </c>
      <c r="G89" s="31">
        <f>'декабрь 2014г. по 6-10'!G89+'декабрь 2014г. по 0,4'!G86</f>
        <v>0</v>
      </c>
      <c r="H89" s="31">
        <f>'декабрь 2014г. по 6-10'!H89+'декабрь 2014г. по 0,4'!H86</f>
        <v>0</v>
      </c>
      <c r="I89" s="31">
        <f>'декабрь 2014г. по 6-10'!I89+'декабрь 2014г. по 0,4'!I86</f>
        <v>0</v>
      </c>
      <c r="J89" s="31">
        <f>'декабрь 2014г. по 6-10'!J89+'декабрь 2014г. по 0,4'!J86</f>
        <v>3</v>
      </c>
      <c r="K89" s="31">
        <f>'декабрь 2014г. по 6-10'!K89+'декабрь 2014г. по 0,4'!K86</f>
        <v>20</v>
      </c>
      <c r="L89" s="31">
        <f>'декабрь 2014г. по 6-10'!L89+'декабрь 2014г. по 0,4'!L86</f>
        <v>0</v>
      </c>
      <c r="M89" s="31">
        <f>'декабрь 2014г. по 6-10'!M89+'декабрь 2014г. по 0,4'!M86</f>
        <v>0</v>
      </c>
      <c r="N89" s="31">
        <f>'декабрь 2014г. по 6-10'!N89+'декабрь 2014г. по 0,4'!N86</f>
        <v>0</v>
      </c>
      <c r="O89" s="31">
        <f>'декабрь 2014г. по 6-10'!O89+'декабрь 2014г. по 0,4'!O86</f>
        <v>0</v>
      </c>
      <c r="P89" s="31">
        <f>'декабрь 2014г. по 6-10'!P89+'декабрь 2014г. по 0,4'!P86</f>
        <v>0</v>
      </c>
      <c r="Q89" s="31">
        <f>'декабрь 2014г. по 6-10'!Q89+'декабрь 2014г. по 0,4'!Q86</f>
        <v>0</v>
      </c>
    </row>
    <row r="90" spans="1:17" ht="12.75" customHeight="1" x14ac:dyDescent="0.2">
      <c r="A90" s="18"/>
      <c r="B90" s="53"/>
      <c r="C90" s="18" t="s">
        <v>353</v>
      </c>
      <c r="D90" s="31">
        <f>'декабрь 2014г. по 6-10'!D90+'декабрь 2014г. по 0,4'!D87</f>
        <v>5</v>
      </c>
      <c r="E90" s="31">
        <f>'декабрь 2014г. по 6-10'!E90+'декабрь 2014г. по 0,4'!E87</f>
        <v>226</v>
      </c>
      <c r="F90" s="31">
        <f>'декабрь 2014г. по 6-10'!F90+'декабрь 2014г. по 0,4'!F87</f>
        <v>1</v>
      </c>
      <c r="G90" s="31">
        <f>'декабрь 2014г. по 6-10'!G90+'декабрь 2014г. по 0,4'!G87</f>
        <v>20</v>
      </c>
      <c r="H90" s="31">
        <f>'декабрь 2014г. по 6-10'!H90+'декабрь 2014г. по 0,4'!H87</f>
        <v>0</v>
      </c>
      <c r="I90" s="31">
        <f>'декабрь 2014г. по 6-10'!I90+'декабрь 2014г. по 0,4'!I87</f>
        <v>0</v>
      </c>
      <c r="J90" s="31">
        <f>'декабрь 2014г. по 6-10'!J90+'декабрь 2014г. по 0,4'!J87</f>
        <v>4</v>
      </c>
      <c r="K90" s="31">
        <f>'декабрь 2014г. по 6-10'!K90+'декабрь 2014г. по 0,4'!K87</f>
        <v>46</v>
      </c>
      <c r="L90" s="31">
        <f>'декабрь 2014г. по 6-10'!L90+'декабрь 2014г. по 0,4'!L87</f>
        <v>0</v>
      </c>
      <c r="M90" s="31">
        <f>'декабрь 2014г. по 6-10'!M90+'декабрь 2014г. по 0,4'!M87</f>
        <v>0</v>
      </c>
      <c r="N90" s="31">
        <f>'декабрь 2014г. по 6-10'!N90+'декабрь 2014г. по 0,4'!N87</f>
        <v>0</v>
      </c>
      <c r="O90" s="31">
        <f>'декабрь 2014г. по 6-10'!O90+'декабрь 2014г. по 0,4'!O87</f>
        <v>0</v>
      </c>
      <c r="P90" s="31">
        <f>'декабрь 2014г. по 6-10'!P90+'декабрь 2014г. по 0,4'!P87</f>
        <v>0</v>
      </c>
      <c r="Q90" s="31">
        <f>'декабрь 2014г. по 6-10'!Q90+'декабрь 2014г. по 0,4'!Q87</f>
        <v>0</v>
      </c>
    </row>
    <row r="91" spans="1:17" ht="12.75" customHeight="1" x14ac:dyDescent="0.2">
      <c r="A91" s="18"/>
      <c r="B91" s="53"/>
      <c r="C91" s="18" t="s">
        <v>354</v>
      </c>
      <c r="D91" s="31">
        <f>'декабрь 2014г. по 6-10'!D91+'декабрь 2014г. по 0,4'!D88</f>
        <v>3</v>
      </c>
      <c r="E91" s="31">
        <f>'декабрь 2014г. по 6-10'!E91+'декабрь 2014г. по 0,4'!E88</f>
        <v>105</v>
      </c>
      <c r="F91" s="31">
        <f>'декабрь 2014г. по 6-10'!F91+'декабрь 2014г. по 0,4'!F88</f>
        <v>3</v>
      </c>
      <c r="G91" s="31">
        <f>'декабрь 2014г. по 6-10'!G91+'декабрь 2014г. по 0,4'!G88</f>
        <v>105</v>
      </c>
      <c r="H91" s="31">
        <f>'декабрь 2014г. по 6-10'!H91+'декабрь 2014г. по 0,4'!H88</f>
        <v>0</v>
      </c>
      <c r="I91" s="31">
        <f>'декабрь 2014г. по 6-10'!I91+'декабрь 2014г. по 0,4'!I88</f>
        <v>0</v>
      </c>
      <c r="J91" s="31">
        <f>'декабрь 2014г. по 6-10'!J91+'декабрь 2014г. по 0,4'!J88</f>
        <v>3</v>
      </c>
      <c r="K91" s="31">
        <f>'декабрь 2014г. по 6-10'!K91+'декабрь 2014г. по 0,4'!K88</f>
        <v>105</v>
      </c>
      <c r="L91" s="31">
        <f>'декабрь 2014г. по 6-10'!L91+'декабрь 2014г. по 0,4'!L88</f>
        <v>0</v>
      </c>
      <c r="M91" s="31">
        <f>'декабрь 2014г. по 6-10'!M91+'декабрь 2014г. по 0,4'!M88</f>
        <v>0</v>
      </c>
      <c r="N91" s="31">
        <f>'декабрь 2014г. по 6-10'!N91+'декабрь 2014г. по 0,4'!N88</f>
        <v>0</v>
      </c>
      <c r="O91" s="31">
        <f>'декабрь 2014г. по 6-10'!O91+'декабрь 2014г. по 0,4'!O88</f>
        <v>0</v>
      </c>
      <c r="P91" s="31">
        <f>'декабрь 2014г. по 6-10'!P91+'декабрь 2014г. по 0,4'!P88</f>
        <v>0</v>
      </c>
      <c r="Q91" s="31">
        <f>'декабрь 2014г. по 6-10'!Q91+'декабрь 2014г. по 0,4'!Q88</f>
        <v>0</v>
      </c>
    </row>
    <row r="92" spans="1:17" ht="12.75" customHeight="1" x14ac:dyDescent="0.2">
      <c r="A92" s="18"/>
      <c r="B92" s="53"/>
      <c r="C92" s="18" t="s">
        <v>167</v>
      </c>
      <c r="D92" s="31">
        <f>'декабрь 2014г. по 6-10'!D92+'декабрь 2014г. по 0,4'!D89</f>
        <v>1</v>
      </c>
      <c r="E92" s="31">
        <f>'декабрь 2014г. по 6-10'!E92+'декабрь 2014г. по 0,4'!E89</f>
        <v>15</v>
      </c>
      <c r="F92" s="31">
        <f>'декабрь 2014г. по 6-10'!F92+'декабрь 2014г. по 0,4'!F89</f>
        <v>1</v>
      </c>
      <c r="G92" s="31">
        <f>'декабрь 2014г. по 6-10'!G92+'декабрь 2014г. по 0,4'!G89</f>
        <v>15</v>
      </c>
      <c r="H92" s="31">
        <f>'декабрь 2014г. по 6-10'!H92+'декабрь 2014г. по 0,4'!H89</f>
        <v>0</v>
      </c>
      <c r="I92" s="31">
        <f>'декабрь 2014г. по 6-10'!I92+'декабрь 2014г. по 0,4'!I89</f>
        <v>0</v>
      </c>
      <c r="J92" s="31">
        <f>'декабрь 2014г. по 6-10'!J92+'декабрь 2014г. по 0,4'!J89</f>
        <v>1</v>
      </c>
      <c r="K92" s="31">
        <f>'декабрь 2014г. по 6-10'!K92+'декабрь 2014г. по 0,4'!K89</f>
        <v>15</v>
      </c>
      <c r="L92" s="31">
        <f>'декабрь 2014г. по 6-10'!L92+'декабрь 2014г. по 0,4'!L89</f>
        <v>0</v>
      </c>
      <c r="M92" s="31">
        <f>'декабрь 2014г. по 6-10'!M92+'декабрь 2014г. по 0,4'!M89</f>
        <v>0</v>
      </c>
      <c r="N92" s="31">
        <f>'декабрь 2014г. по 6-10'!N92+'декабрь 2014г. по 0,4'!N89</f>
        <v>0</v>
      </c>
      <c r="O92" s="31">
        <f>'декабрь 2014г. по 6-10'!O92+'декабрь 2014г. по 0,4'!O89</f>
        <v>0</v>
      </c>
      <c r="P92" s="31">
        <f>'декабрь 2014г. по 6-10'!P92+'декабрь 2014г. по 0,4'!P89</f>
        <v>0</v>
      </c>
      <c r="Q92" s="31">
        <f>'декабрь 2014г. по 6-10'!Q92+'декабрь 2014г. по 0,4'!Q89</f>
        <v>0</v>
      </c>
    </row>
    <row r="93" spans="1:17" ht="12.75" customHeight="1" x14ac:dyDescent="0.2">
      <c r="A93" s="18"/>
      <c r="B93" s="53"/>
      <c r="C93" s="18" t="s">
        <v>355</v>
      </c>
      <c r="D93" s="31">
        <f>'декабрь 2014г. по 6-10'!D93+'декабрь 2014г. по 0,4'!D90</f>
        <v>22</v>
      </c>
      <c r="E93" s="31">
        <f>'декабрь 2014г. по 6-10'!E93+'декабрь 2014г. по 0,4'!E90</f>
        <v>530</v>
      </c>
      <c r="F93" s="31">
        <f>'декабрь 2014г. по 6-10'!F93+'декабрь 2014г. по 0,4'!F90</f>
        <v>17</v>
      </c>
      <c r="G93" s="31">
        <f>'декабрь 2014г. по 6-10'!G93+'декабрь 2014г. по 0,4'!G90</f>
        <v>289</v>
      </c>
      <c r="H93" s="31">
        <f>'декабрь 2014г. по 6-10'!H93+'декабрь 2014г. по 0,4'!H90</f>
        <v>0</v>
      </c>
      <c r="I93" s="31">
        <f>'декабрь 2014г. по 6-10'!I93+'декабрь 2014г. по 0,4'!I90</f>
        <v>0</v>
      </c>
      <c r="J93" s="31">
        <f>'декабрь 2014г. по 6-10'!J93+'декабрь 2014г. по 0,4'!J90</f>
        <v>18</v>
      </c>
      <c r="K93" s="31">
        <f>'декабрь 2014г. по 6-10'!K93+'декабрь 2014г. по 0,4'!K90</f>
        <v>230</v>
      </c>
      <c r="L93" s="31">
        <f>'декабрь 2014г. по 6-10'!L93+'декабрь 2014г. по 0,4'!L90</f>
        <v>0</v>
      </c>
      <c r="M93" s="31">
        <f>'декабрь 2014г. по 6-10'!M93+'декабрь 2014г. по 0,4'!M90</f>
        <v>0</v>
      </c>
      <c r="N93" s="31">
        <f>'декабрь 2014г. по 6-10'!N93+'декабрь 2014г. по 0,4'!N90</f>
        <v>0</v>
      </c>
      <c r="O93" s="31">
        <f>'декабрь 2014г. по 6-10'!O93+'декабрь 2014г. по 0,4'!O90</f>
        <v>0</v>
      </c>
      <c r="P93" s="31">
        <f>'декабрь 2014г. по 6-10'!P93+'декабрь 2014г. по 0,4'!P90</f>
        <v>0</v>
      </c>
      <c r="Q93" s="31">
        <f>'декабрь 2014г. по 6-10'!Q93+'декабрь 2014г. по 0,4'!Q90</f>
        <v>0</v>
      </c>
    </row>
    <row r="94" spans="1:17" ht="12.75" customHeight="1" x14ac:dyDescent="0.2">
      <c r="A94" s="18"/>
      <c r="B94" s="53"/>
      <c r="C94" s="18" t="s">
        <v>168</v>
      </c>
      <c r="D94" s="31">
        <f>'декабрь 2014г. по 6-10'!D94+'декабрь 2014г. по 0,4'!D91</f>
        <v>0</v>
      </c>
      <c r="E94" s="31">
        <f>'декабрь 2014г. по 6-10'!E94+'декабрь 2014г. по 0,4'!E91</f>
        <v>0</v>
      </c>
      <c r="F94" s="31">
        <f>'декабрь 2014г. по 6-10'!F94+'декабрь 2014г. по 0,4'!F91</f>
        <v>0</v>
      </c>
      <c r="G94" s="31">
        <f>'декабрь 2014г. по 6-10'!G94+'декабрь 2014г. по 0,4'!G91</f>
        <v>0</v>
      </c>
      <c r="H94" s="31">
        <f>'декабрь 2014г. по 6-10'!H94+'декабрь 2014г. по 0,4'!H91</f>
        <v>0</v>
      </c>
      <c r="I94" s="31">
        <f>'декабрь 2014г. по 6-10'!I94+'декабрь 2014г. по 0,4'!I91</f>
        <v>0</v>
      </c>
      <c r="J94" s="31">
        <f>'декабрь 2014г. по 6-10'!J94+'декабрь 2014г. по 0,4'!J91</f>
        <v>0</v>
      </c>
      <c r="K94" s="31">
        <f>'декабрь 2014г. по 6-10'!K94+'декабрь 2014г. по 0,4'!K91</f>
        <v>0</v>
      </c>
      <c r="L94" s="31">
        <f>'декабрь 2014г. по 6-10'!L94+'декабрь 2014г. по 0,4'!L91</f>
        <v>0</v>
      </c>
      <c r="M94" s="31">
        <f>'декабрь 2014г. по 6-10'!M94+'декабрь 2014г. по 0,4'!M91</f>
        <v>0</v>
      </c>
      <c r="N94" s="31">
        <f>'декабрь 2014г. по 6-10'!N94+'декабрь 2014г. по 0,4'!N91</f>
        <v>0</v>
      </c>
      <c r="O94" s="31">
        <f>'декабрь 2014г. по 6-10'!O94+'декабрь 2014г. по 0,4'!O91</f>
        <v>0</v>
      </c>
      <c r="P94" s="31">
        <f>'декабрь 2014г. по 6-10'!P94+'декабрь 2014г. по 0,4'!P91</f>
        <v>0</v>
      </c>
      <c r="Q94" s="31">
        <f>'декабрь 2014г. по 6-10'!Q94+'декабрь 2014г. по 0,4'!Q91</f>
        <v>0</v>
      </c>
    </row>
    <row r="95" spans="1:17" ht="12.75" customHeight="1" x14ac:dyDescent="0.2">
      <c r="A95" s="18"/>
      <c r="B95" s="53"/>
      <c r="C95" s="18" t="s">
        <v>169</v>
      </c>
      <c r="D95" s="31">
        <f>'декабрь 2014г. по 6-10'!D95+'декабрь 2014г. по 0,4'!D92</f>
        <v>0</v>
      </c>
      <c r="E95" s="31">
        <f>'декабрь 2014г. по 6-10'!E95+'декабрь 2014г. по 0,4'!E92</f>
        <v>0</v>
      </c>
      <c r="F95" s="31">
        <f>'декабрь 2014г. по 6-10'!F95+'декабрь 2014г. по 0,4'!F92</f>
        <v>0</v>
      </c>
      <c r="G95" s="31">
        <f>'декабрь 2014г. по 6-10'!G95+'декабрь 2014г. по 0,4'!G92</f>
        <v>0</v>
      </c>
      <c r="H95" s="31">
        <f>'декабрь 2014г. по 6-10'!H95+'декабрь 2014г. по 0,4'!H92</f>
        <v>0</v>
      </c>
      <c r="I95" s="31">
        <f>'декабрь 2014г. по 6-10'!I95+'декабрь 2014г. по 0,4'!I92</f>
        <v>0</v>
      </c>
      <c r="J95" s="31">
        <f>'декабрь 2014г. по 6-10'!J95+'декабрь 2014г. по 0,4'!J92</f>
        <v>0</v>
      </c>
      <c r="K95" s="31">
        <f>'декабрь 2014г. по 6-10'!K95+'декабрь 2014г. по 0,4'!K92</f>
        <v>0</v>
      </c>
      <c r="L95" s="31">
        <f>'декабрь 2014г. по 6-10'!L95+'декабрь 2014г. по 0,4'!L92</f>
        <v>0</v>
      </c>
      <c r="M95" s="31">
        <f>'декабрь 2014г. по 6-10'!M95+'декабрь 2014г. по 0,4'!M92</f>
        <v>0</v>
      </c>
      <c r="N95" s="31">
        <f>'декабрь 2014г. по 6-10'!N95+'декабрь 2014г. по 0,4'!N92</f>
        <v>0</v>
      </c>
      <c r="O95" s="31">
        <f>'декабрь 2014г. по 6-10'!O95+'декабрь 2014г. по 0,4'!O92</f>
        <v>0</v>
      </c>
      <c r="P95" s="31">
        <f>'декабрь 2014г. по 6-10'!P95+'декабрь 2014г. по 0,4'!P92</f>
        <v>0</v>
      </c>
      <c r="Q95" s="31">
        <f>'декабрь 2014г. по 6-10'!Q95+'декабрь 2014г. по 0,4'!Q92</f>
        <v>0</v>
      </c>
    </row>
    <row r="96" spans="1:17" ht="12.75" customHeight="1" x14ac:dyDescent="0.2">
      <c r="A96" s="18"/>
      <c r="B96" s="53"/>
      <c r="C96" s="18" t="s">
        <v>358</v>
      </c>
      <c r="D96" s="31">
        <f>'декабрь 2014г. по 6-10'!D96+'декабрь 2014г. по 0,4'!D93</f>
        <v>1</v>
      </c>
      <c r="E96" s="31">
        <f>'декабрь 2014г. по 6-10'!E96+'декабрь 2014г. по 0,4'!E93</f>
        <v>6</v>
      </c>
      <c r="F96" s="31">
        <f>'декабрь 2014г. по 6-10'!F96+'декабрь 2014г. по 0,4'!F93</f>
        <v>1</v>
      </c>
      <c r="G96" s="31">
        <f>'декабрь 2014г. по 6-10'!G96+'декабрь 2014г. по 0,4'!G93</f>
        <v>6</v>
      </c>
      <c r="H96" s="31">
        <f>'декабрь 2014г. по 6-10'!H96+'декабрь 2014г. по 0,4'!H93</f>
        <v>0</v>
      </c>
      <c r="I96" s="31">
        <f>'декабрь 2014г. по 6-10'!I96+'декабрь 2014г. по 0,4'!I93</f>
        <v>0</v>
      </c>
      <c r="J96" s="31">
        <f>'декабрь 2014г. по 6-10'!J96+'декабрь 2014г. по 0,4'!J93</f>
        <v>5</v>
      </c>
      <c r="K96" s="31">
        <f>'декабрь 2014г. по 6-10'!K96+'декабрь 2014г. по 0,4'!K93</f>
        <v>25</v>
      </c>
      <c r="L96" s="31">
        <f>'декабрь 2014г. по 6-10'!L96+'декабрь 2014г. по 0,4'!L93</f>
        <v>0</v>
      </c>
      <c r="M96" s="31">
        <f>'декабрь 2014г. по 6-10'!M96+'декабрь 2014г. по 0,4'!M93</f>
        <v>0</v>
      </c>
      <c r="N96" s="31">
        <f>'декабрь 2014г. по 6-10'!N96+'декабрь 2014г. по 0,4'!N93</f>
        <v>0</v>
      </c>
      <c r="O96" s="31">
        <f>'декабрь 2014г. по 6-10'!O96+'декабрь 2014г. по 0,4'!O93</f>
        <v>0</v>
      </c>
      <c r="P96" s="31">
        <f>'декабрь 2014г. по 6-10'!P96+'декабрь 2014г. по 0,4'!P93</f>
        <v>0</v>
      </c>
      <c r="Q96" s="31">
        <f>'декабрь 2014г. по 6-10'!Q96+'декабрь 2014г. по 0,4'!Q93</f>
        <v>0</v>
      </c>
    </row>
    <row r="97" spans="1:17" ht="12.75" customHeight="1" x14ac:dyDescent="0.2">
      <c r="A97" s="18"/>
      <c r="B97" s="53"/>
      <c r="C97" s="18" t="s">
        <v>170</v>
      </c>
      <c r="D97" s="31">
        <f>'декабрь 2014г. по 6-10'!D97+'декабрь 2014г. по 0,4'!D94</f>
        <v>8</v>
      </c>
      <c r="E97" s="31">
        <f>'декабрь 2014г. по 6-10'!E97+'декабрь 2014г. по 0,4'!E94</f>
        <v>117</v>
      </c>
      <c r="F97" s="31">
        <f>'декабрь 2014г. по 6-10'!F97+'декабрь 2014г. по 0,4'!F94</f>
        <v>8</v>
      </c>
      <c r="G97" s="31">
        <f>'декабрь 2014г. по 6-10'!G97+'декабрь 2014г. по 0,4'!G94</f>
        <v>103</v>
      </c>
      <c r="H97" s="31">
        <f>'декабрь 2014г. по 6-10'!H97+'декабрь 2014г. по 0,4'!H94</f>
        <v>0</v>
      </c>
      <c r="I97" s="31">
        <f>'декабрь 2014г. по 6-10'!I97+'декабрь 2014г. по 0,4'!I94</f>
        <v>0</v>
      </c>
      <c r="J97" s="31">
        <f>'декабрь 2014г. по 6-10'!J97+'декабрь 2014г. по 0,4'!J94</f>
        <v>8</v>
      </c>
      <c r="K97" s="31">
        <f>'декабрь 2014г. по 6-10'!K97+'декабрь 2014г. по 0,4'!K94</f>
        <v>117</v>
      </c>
      <c r="L97" s="31">
        <f>'декабрь 2014г. по 6-10'!L97+'декабрь 2014г. по 0,4'!L94</f>
        <v>0</v>
      </c>
      <c r="M97" s="31">
        <f>'декабрь 2014г. по 6-10'!M97+'декабрь 2014г. по 0,4'!M94</f>
        <v>0</v>
      </c>
      <c r="N97" s="31">
        <f>'декабрь 2014г. по 6-10'!N97+'декабрь 2014г. по 0,4'!N94</f>
        <v>0</v>
      </c>
      <c r="O97" s="31">
        <f>'декабрь 2014г. по 6-10'!O97+'декабрь 2014г. по 0,4'!O94</f>
        <v>0</v>
      </c>
      <c r="P97" s="31">
        <f>'декабрь 2014г. по 6-10'!P97+'декабрь 2014г. по 0,4'!P94</f>
        <v>0</v>
      </c>
      <c r="Q97" s="31">
        <f>'декабрь 2014г. по 6-10'!Q97+'декабрь 2014г. по 0,4'!Q94</f>
        <v>0</v>
      </c>
    </row>
    <row r="98" spans="1:17" ht="12.75" customHeight="1" x14ac:dyDescent="0.2">
      <c r="A98" s="18"/>
      <c r="B98" s="53"/>
      <c r="C98" s="18" t="s">
        <v>361</v>
      </c>
      <c r="D98" s="31">
        <f>'декабрь 2014г. по 6-10'!D98+'декабрь 2014г. по 0,4'!D95</f>
        <v>4</v>
      </c>
      <c r="E98" s="31">
        <f>'декабрь 2014г. по 6-10'!E98+'декабрь 2014г. по 0,4'!E95</f>
        <v>97</v>
      </c>
      <c r="F98" s="31">
        <f>'декабрь 2014г. по 6-10'!F98+'декабрь 2014г. по 0,4'!F95</f>
        <v>4</v>
      </c>
      <c r="G98" s="31">
        <f>'декабрь 2014г. по 6-10'!G98+'декабрь 2014г. по 0,4'!G95</f>
        <v>97</v>
      </c>
      <c r="H98" s="31">
        <f>'декабрь 2014г. по 6-10'!H98+'декабрь 2014г. по 0,4'!H95</f>
        <v>0</v>
      </c>
      <c r="I98" s="31">
        <f>'декабрь 2014г. по 6-10'!I98+'декабрь 2014г. по 0,4'!I95</f>
        <v>0</v>
      </c>
      <c r="J98" s="31">
        <f>'декабрь 2014г. по 6-10'!J98+'декабрь 2014г. по 0,4'!J95</f>
        <v>4</v>
      </c>
      <c r="K98" s="31">
        <f>'декабрь 2014г. по 6-10'!K98+'декабрь 2014г. по 0,4'!K95</f>
        <v>97</v>
      </c>
      <c r="L98" s="31">
        <f>'декабрь 2014г. по 6-10'!L98+'декабрь 2014г. по 0,4'!L95</f>
        <v>0</v>
      </c>
      <c r="M98" s="31">
        <f>'декабрь 2014г. по 6-10'!M98+'декабрь 2014г. по 0,4'!M95</f>
        <v>0</v>
      </c>
      <c r="N98" s="31">
        <f>'декабрь 2014г. по 6-10'!N98+'декабрь 2014г. по 0,4'!N95</f>
        <v>0</v>
      </c>
      <c r="O98" s="31">
        <f>'декабрь 2014г. по 6-10'!O98+'декабрь 2014г. по 0,4'!O95</f>
        <v>0</v>
      </c>
      <c r="P98" s="31">
        <f>'декабрь 2014г. по 6-10'!P98+'декабрь 2014г. по 0,4'!P95</f>
        <v>0</v>
      </c>
      <c r="Q98" s="31">
        <f>'декабрь 2014г. по 6-10'!Q98+'декабрь 2014г. по 0,4'!Q95</f>
        <v>0</v>
      </c>
    </row>
    <row r="99" spans="1:17" ht="12.75" customHeight="1" x14ac:dyDescent="0.2">
      <c r="A99" s="18"/>
      <c r="B99" s="53"/>
      <c r="C99" s="18" t="s">
        <v>172</v>
      </c>
      <c r="D99" s="31">
        <f>'декабрь 2014г. по 6-10'!D99+'декабрь 2014г. по 0,4'!D96</f>
        <v>8</v>
      </c>
      <c r="E99" s="31">
        <f>'декабрь 2014г. по 6-10'!E99+'декабрь 2014г. по 0,4'!E96</f>
        <v>184</v>
      </c>
      <c r="F99" s="31">
        <f>'декабрь 2014г. по 6-10'!F99+'декабрь 2014г. по 0,4'!F96</f>
        <v>8</v>
      </c>
      <c r="G99" s="31">
        <f>'декабрь 2014г. по 6-10'!G99+'декабрь 2014г. по 0,4'!G96</f>
        <v>184</v>
      </c>
      <c r="H99" s="31">
        <f>'декабрь 2014г. по 6-10'!H99+'декабрь 2014г. по 0,4'!H96</f>
        <v>0</v>
      </c>
      <c r="I99" s="31">
        <f>'декабрь 2014г. по 6-10'!I99+'декабрь 2014г. по 0,4'!I96</f>
        <v>0</v>
      </c>
      <c r="J99" s="31">
        <f>'декабрь 2014г. по 6-10'!J99+'декабрь 2014г. по 0,4'!J96</f>
        <v>5</v>
      </c>
      <c r="K99" s="31">
        <f>'декабрь 2014г. по 6-10'!K99+'декабрь 2014г. по 0,4'!K96</f>
        <v>28</v>
      </c>
      <c r="L99" s="31">
        <f>'декабрь 2014г. по 6-10'!L99+'декабрь 2014г. по 0,4'!L96</f>
        <v>0</v>
      </c>
      <c r="M99" s="31">
        <f>'декабрь 2014г. по 6-10'!M99+'декабрь 2014г. по 0,4'!M96</f>
        <v>0</v>
      </c>
      <c r="N99" s="31">
        <f>'декабрь 2014г. по 6-10'!N99+'декабрь 2014г. по 0,4'!N96</f>
        <v>0</v>
      </c>
      <c r="O99" s="31">
        <f>'декабрь 2014г. по 6-10'!O99+'декабрь 2014г. по 0,4'!O96</f>
        <v>0</v>
      </c>
      <c r="P99" s="31">
        <f>'декабрь 2014г. по 6-10'!P99+'декабрь 2014г. по 0,4'!P96</f>
        <v>0</v>
      </c>
      <c r="Q99" s="31">
        <f>'декабрь 2014г. по 6-10'!Q99+'декабрь 2014г. по 0,4'!Q96</f>
        <v>0</v>
      </c>
    </row>
    <row r="100" spans="1:17" ht="12.75" customHeight="1" x14ac:dyDescent="0.2">
      <c r="A100" s="18"/>
      <c r="B100" s="53"/>
      <c r="C100" s="18" t="s">
        <v>173</v>
      </c>
      <c r="D100" s="31">
        <f>'декабрь 2014г. по 6-10'!D100+'декабрь 2014г. по 0,4'!D97</f>
        <v>3</v>
      </c>
      <c r="E100" s="31">
        <f>'декабрь 2014г. по 6-10'!E100+'декабрь 2014г. по 0,4'!E97</f>
        <v>11</v>
      </c>
      <c r="F100" s="31">
        <f>'декабрь 2014г. по 6-10'!F100+'декабрь 2014г. по 0,4'!F97</f>
        <v>3</v>
      </c>
      <c r="G100" s="31">
        <f>'декабрь 2014г. по 6-10'!G100+'декабрь 2014г. по 0,4'!G97</f>
        <v>11</v>
      </c>
      <c r="H100" s="31">
        <f>'декабрь 2014г. по 6-10'!H100+'декабрь 2014г. по 0,4'!H97</f>
        <v>0</v>
      </c>
      <c r="I100" s="31">
        <f>'декабрь 2014г. по 6-10'!I100+'декабрь 2014г. по 0,4'!I97</f>
        <v>0</v>
      </c>
      <c r="J100" s="31">
        <f>'декабрь 2014г. по 6-10'!J100+'декабрь 2014г. по 0,4'!J97</f>
        <v>3</v>
      </c>
      <c r="K100" s="31">
        <f>'декабрь 2014г. по 6-10'!K100+'декабрь 2014г. по 0,4'!K97</f>
        <v>11</v>
      </c>
      <c r="L100" s="31">
        <f>'декабрь 2014г. по 6-10'!L100+'декабрь 2014г. по 0,4'!L97</f>
        <v>0</v>
      </c>
      <c r="M100" s="31">
        <f>'декабрь 2014г. по 6-10'!M100+'декабрь 2014г. по 0,4'!M97</f>
        <v>0</v>
      </c>
      <c r="N100" s="31">
        <f>'декабрь 2014г. по 6-10'!N100+'декабрь 2014г. по 0,4'!N97</f>
        <v>0</v>
      </c>
      <c r="O100" s="31">
        <f>'декабрь 2014г. по 6-10'!O100+'декабрь 2014г. по 0,4'!O97</f>
        <v>0</v>
      </c>
      <c r="P100" s="31">
        <f>'декабрь 2014г. по 6-10'!P100+'декабрь 2014г. по 0,4'!P97</f>
        <v>0</v>
      </c>
      <c r="Q100" s="31">
        <f>'декабрь 2014г. по 6-10'!Q100+'декабрь 2014г. по 0,4'!Q97</f>
        <v>0</v>
      </c>
    </row>
    <row r="101" spans="1:17" ht="12.75" customHeight="1" x14ac:dyDescent="0.2">
      <c r="A101" s="18"/>
      <c r="B101" s="53"/>
      <c r="C101" s="50" t="s">
        <v>174</v>
      </c>
      <c r="D101" s="31">
        <f>'декабрь 2014г. по 6-10'!D101+'декабрь 2014г. по 0,4'!D98</f>
        <v>5</v>
      </c>
      <c r="E101" s="31">
        <f>'декабрь 2014г. по 6-10'!E101+'декабрь 2014г. по 0,4'!E98</f>
        <v>455</v>
      </c>
      <c r="F101" s="31">
        <f>'декабрь 2014г. по 6-10'!F101+'декабрь 2014г. по 0,4'!F98</f>
        <v>5</v>
      </c>
      <c r="G101" s="31">
        <f>'декабрь 2014г. по 6-10'!G101+'декабрь 2014г. по 0,4'!G98</f>
        <v>455</v>
      </c>
      <c r="H101" s="31">
        <f>'декабрь 2014г. по 6-10'!H101+'декабрь 2014г. по 0,4'!H98</f>
        <v>0</v>
      </c>
      <c r="I101" s="31">
        <f>'декабрь 2014г. по 6-10'!I101+'декабрь 2014г. по 0,4'!I98</f>
        <v>0</v>
      </c>
      <c r="J101" s="31">
        <f>'декабрь 2014г. по 6-10'!J101+'декабрь 2014г. по 0,4'!J98</f>
        <v>0</v>
      </c>
      <c r="K101" s="31">
        <f>'декабрь 2014г. по 6-10'!K101+'декабрь 2014г. по 0,4'!K98</f>
        <v>0</v>
      </c>
      <c r="L101" s="31">
        <f>'декабрь 2014г. по 6-10'!L101+'декабрь 2014г. по 0,4'!L98</f>
        <v>0</v>
      </c>
      <c r="M101" s="31">
        <f>'декабрь 2014г. по 6-10'!M101+'декабрь 2014г. по 0,4'!M98</f>
        <v>0</v>
      </c>
      <c r="N101" s="31">
        <f>'декабрь 2014г. по 6-10'!N101+'декабрь 2014г. по 0,4'!N98</f>
        <v>0</v>
      </c>
      <c r="O101" s="31">
        <f>'декабрь 2014г. по 6-10'!O101+'декабрь 2014г. по 0,4'!O98</f>
        <v>0</v>
      </c>
      <c r="P101" s="31">
        <f>'декабрь 2014г. по 6-10'!P101+'декабрь 2014г. по 0,4'!P98</f>
        <v>0</v>
      </c>
      <c r="Q101" s="31">
        <f>'декабрь 2014г. по 6-10'!Q101+'декабрь 2014г. по 0,4'!Q98</f>
        <v>0</v>
      </c>
    </row>
    <row r="102" spans="1:17" ht="22.5" customHeight="1" x14ac:dyDescent="0.2">
      <c r="A102" s="18"/>
      <c r="B102" s="18"/>
      <c r="C102" s="20" t="s">
        <v>30</v>
      </c>
      <c r="D102" s="68">
        <f t="shared" ref="D102:Q102" si="1">SUM(D66:D101)</f>
        <v>435</v>
      </c>
      <c r="E102" s="68">
        <f t="shared" si="1"/>
        <v>11917.59</v>
      </c>
      <c r="F102" s="68">
        <f t="shared" si="1"/>
        <v>316</v>
      </c>
      <c r="G102" s="68">
        <f t="shared" si="1"/>
        <v>5711.5</v>
      </c>
      <c r="H102" s="68">
        <f t="shared" si="1"/>
        <v>0</v>
      </c>
      <c r="I102" s="68">
        <f t="shared" si="1"/>
        <v>0</v>
      </c>
      <c r="J102" s="68">
        <f t="shared" si="1"/>
        <v>317</v>
      </c>
      <c r="K102" s="68">
        <f t="shared" si="1"/>
        <v>4795</v>
      </c>
      <c r="L102" s="68">
        <f t="shared" si="1"/>
        <v>0</v>
      </c>
      <c r="M102" s="68">
        <f t="shared" si="1"/>
        <v>0</v>
      </c>
      <c r="N102" s="68">
        <f t="shared" si="1"/>
        <v>0</v>
      </c>
      <c r="O102" s="68">
        <f t="shared" si="1"/>
        <v>0</v>
      </c>
      <c r="P102" s="68">
        <f t="shared" si="1"/>
        <v>0</v>
      </c>
      <c r="Q102" s="68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24"/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x14ac:dyDescent="0.2">
      <c r="A104" s="18"/>
      <c r="B104" s="53"/>
      <c r="C104" s="50" t="s">
        <v>175</v>
      </c>
      <c r="D104" s="31">
        <f>'декабрь 2014г. по 6-10'!D104+'декабрь 2014г. по 0,4'!D101</f>
        <v>96</v>
      </c>
      <c r="E104" s="31">
        <f>'декабрь 2014г. по 6-10'!E104+'декабрь 2014г. по 0,4'!E101</f>
        <v>3562</v>
      </c>
      <c r="F104" s="31">
        <f>'декабрь 2014г. по 6-10'!F104+'декабрь 2014г. по 0,4'!F101</f>
        <v>57</v>
      </c>
      <c r="G104" s="31">
        <f>'декабрь 2014г. по 6-10'!G104+'декабрь 2014г. по 0,4'!G101</f>
        <v>2095</v>
      </c>
      <c r="H104" s="31">
        <f>'декабрь 2014г. по 6-10'!H104+'декабрь 2014г. по 0,4'!H101</f>
        <v>0</v>
      </c>
      <c r="I104" s="31">
        <f>'декабрь 2014г. по 6-10'!I104+'декабрь 2014г. по 0,4'!I101</f>
        <v>0</v>
      </c>
      <c r="J104" s="31">
        <f>'декабрь 2014г. по 6-10'!J104+'декабрь 2014г. по 0,4'!J101</f>
        <v>78</v>
      </c>
      <c r="K104" s="31">
        <f>'декабрь 2014г. по 6-10'!K104+'декабрь 2014г. по 0,4'!K101</f>
        <v>1440</v>
      </c>
      <c r="L104" s="31">
        <f>'декабрь 2014г. по 6-10'!L104+'декабрь 2014г. по 0,4'!L101</f>
        <v>0</v>
      </c>
      <c r="M104" s="31">
        <f>'декабрь 2014г. по 6-10'!M104+'декабрь 2014г. по 0,4'!M101</f>
        <v>0</v>
      </c>
      <c r="N104" s="31">
        <f>'декабрь 2014г. по 6-10'!N104+'декабрь 2014г. по 0,4'!N101</f>
        <v>0</v>
      </c>
      <c r="O104" s="31">
        <f>'декабрь 2014г. по 6-10'!O104+'декабрь 2014г. по 0,4'!O101</f>
        <v>0</v>
      </c>
      <c r="P104" s="31">
        <f>'декабрь 2014г. по 6-10'!P104+'декабрь 2014г. по 0,4'!P101</f>
        <v>0</v>
      </c>
      <c r="Q104" s="31">
        <f>'декабрь 2014г. по 6-10'!Q104+'декабрь 2014г. по 0,4'!Q101</f>
        <v>0</v>
      </c>
    </row>
    <row r="105" spans="1:17" x14ac:dyDescent="0.2">
      <c r="A105" s="18"/>
      <c r="B105" s="53"/>
      <c r="C105" s="50" t="s">
        <v>176</v>
      </c>
      <c r="D105" s="31">
        <f>'декабрь 2014г. по 6-10'!D105+'декабрь 2014г. по 0,4'!D102</f>
        <v>49</v>
      </c>
      <c r="E105" s="31">
        <f>'декабрь 2014г. по 6-10'!E105+'декабрь 2014г. по 0,4'!E102</f>
        <v>2293.9</v>
      </c>
      <c r="F105" s="31">
        <f>'декабрь 2014г. по 6-10'!F105+'декабрь 2014г. по 0,4'!F102</f>
        <v>34</v>
      </c>
      <c r="G105" s="31">
        <f>'декабрь 2014г. по 6-10'!G105+'декабрь 2014г. по 0,4'!G102</f>
        <v>373</v>
      </c>
      <c r="H105" s="31">
        <f>'декабрь 2014г. по 6-10'!H105+'декабрь 2014г. по 0,4'!H102</f>
        <v>0</v>
      </c>
      <c r="I105" s="31">
        <f>'декабрь 2014г. по 6-10'!I105+'декабрь 2014г. по 0,4'!I102</f>
        <v>0</v>
      </c>
      <c r="J105" s="31">
        <f>'декабрь 2014г. по 6-10'!J105+'декабрь 2014г. по 0,4'!J102</f>
        <v>47</v>
      </c>
      <c r="K105" s="31">
        <f>'декабрь 2014г. по 6-10'!K105+'декабрь 2014г. по 0,4'!K102</f>
        <v>875</v>
      </c>
      <c r="L105" s="31">
        <f>'декабрь 2014г. по 6-10'!L105+'декабрь 2014г. по 0,4'!L102</f>
        <v>0</v>
      </c>
      <c r="M105" s="31">
        <f>'декабрь 2014г. по 6-10'!M105+'декабрь 2014г. по 0,4'!M102</f>
        <v>0</v>
      </c>
      <c r="N105" s="31">
        <f>'декабрь 2014г. по 6-10'!N105+'декабрь 2014г. по 0,4'!N102</f>
        <v>0</v>
      </c>
      <c r="O105" s="31">
        <f>'декабрь 2014г. по 6-10'!O105+'декабрь 2014г. по 0,4'!O102</f>
        <v>0</v>
      </c>
      <c r="P105" s="31">
        <f>'декабрь 2014г. по 6-10'!P105+'декабрь 2014г. по 0,4'!P102</f>
        <v>0</v>
      </c>
      <c r="Q105" s="31">
        <f>'декабрь 2014г. по 6-10'!Q105+'декабрь 2014г. по 0,4'!Q102</f>
        <v>0</v>
      </c>
    </row>
    <row r="106" spans="1:17" x14ac:dyDescent="0.2">
      <c r="A106" s="18"/>
      <c r="B106" s="53"/>
      <c r="C106" s="50" t="s">
        <v>177</v>
      </c>
      <c r="D106" s="31">
        <f>'декабрь 2014г. по 6-10'!D106+'декабрь 2014г. по 0,4'!D103</f>
        <v>25</v>
      </c>
      <c r="E106" s="31">
        <f>'декабрь 2014г. по 6-10'!E106+'декабрь 2014г. по 0,4'!E103</f>
        <v>494.25</v>
      </c>
      <c r="F106" s="31">
        <f>'декабрь 2014г. по 6-10'!F106+'декабрь 2014г. по 0,4'!F103</f>
        <v>24</v>
      </c>
      <c r="G106" s="31">
        <f>'декабрь 2014г. по 6-10'!G106+'декабрь 2014г. по 0,4'!G103</f>
        <v>188</v>
      </c>
      <c r="H106" s="31">
        <f>'декабрь 2014г. по 6-10'!H106+'декабрь 2014г. по 0,4'!H103</f>
        <v>0</v>
      </c>
      <c r="I106" s="31">
        <f>'декабрь 2014г. по 6-10'!I106+'декабрь 2014г. по 0,4'!I103</f>
        <v>0</v>
      </c>
      <c r="J106" s="31">
        <f>'декабрь 2014г. по 6-10'!J106+'декабрь 2014г. по 0,4'!J103</f>
        <v>31</v>
      </c>
      <c r="K106" s="31">
        <f>'декабрь 2014г. по 6-10'!K106+'декабрь 2014г. по 0,4'!K103</f>
        <v>370</v>
      </c>
      <c r="L106" s="31">
        <f>'декабрь 2014г. по 6-10'!L106+'декабрь 2014г. по 0,4'!L103</f>
        <v>0</v>
      </c>
      <c r="M106" s="31">
        <f>'декабрь 2014г. по 6-10'!M106+'декабрь 2014г. по 0,4'!M103</f>
        <v>0</v>
      </c>
      <c r="N106" s="31">
        <f>'декабрь 2014г. по 6-10'!N106+'декабрь 2014г. по 0,4'!N103</f>
        <v>0</v>
      </c>
      <c r="O106" s="31">
        <f>'декабрь 2014г. по 6-10'!O106+'декабрь 2014г. по 0,4'!O103</f>
        <v>0</v>
      </c>
      <c r="P106" s="31">
        <f>'декабрь 2014г. по 6-10'!P106+'декабрь 2014г. по 0,4'!P103</f>
        <v>0</v>
      </c>
      <c r="Q106" s="31">
        <f>'декабрь 2014г. по 6-10'!Q106+'декабрь 2014г. по 0,4'!Q103</f>
        <v>0</v>
      </c>
    </row>
    <row r="107" spans="1:17" x14ac:dyDescent="0.2">
      <c r="A107" s="18"/>
      <c r="B107" s="53"/>
      <c r="C107" s="50" t="s">
        <v>178</v>
      </c>
      <c r="D107" s="31">
        <f>'декабрь 2014г. по 6-10'!D107+'декабрь 2014г. по 0,4'!D104</f>
        <v>38</v>
      </c>
      <c r="E107" s="31">
        <f>'декабрь 2014г. по 6-10'!E107+'декабрь 2014г. по 0,4'!E104</f>
        <v>1853.25</v>
      </c>
      <c r="F107" s="31">
        <f>'декабрь 2014г. по 6-10'!F107+'декабрь 2014г. по 0,4'!F104</f>
        <v>34</v>
      </c>
      <c r="G107" s="31">
        <f>'декабрь 2014г. по 6-10'!G107+'декабрь 2014г. по 0,4'!G104</f>
        <v>881.25</v>
      </c>
      <c r="H107" s="31">
        <f>'декабрь 2014г. по 6-10'!H107+'декабрь 2014г. по 0,4'!H104</f>
        <v>0</v>
      </c>
      <c r="I107" s="31">
        <f>'декабрь 2014г. по 6-10'!I107+'декабрь 2014г. по 0,4'!I104</f>
        <v>0</v>
      </c>
      <c r="J107" s="31">
        <f>'декабрь 2014г. по 6-10'!J107+'декабрь 2014г. по 0,4'!J104</f>
        <v>27</v>
      </c>
      <c r="K107" s="31">
        <f>'декабрь 2014г. по 6-10'!K107+'декабрь 2014г. по 0,4'!K104</f>
        <v>292</v>
      </c>
      <c r="L107" s="31">
        <f>'декабрь 2014г. по 6-10'!L107+'декабрь 2014г. по 0,4'!L104</f>
        <v>0</v>
      </c>
      <c r="M107" s="31">
        <f>'декабрь 2014г. по 6-10'!M107+'декабрь 2014г. по 0,4'!M104</f>
        <v>0</v>
      </c>
      <c r="N107" s="31">
        <f>'декабрь 2014г. по 6-10'!N107+'декабрь 2014г. по 0,4'!N104</f>
        <v>0</v>
      </c>
      <c r="O107" s="31">
        <f>'декабрь 2014г. по 6-10'!O107+'декабрь 2014г. по 0,4'!O104</f>
        <v>0</v>
      </c>
      <c r="P107" s="31">
        <f>'декабрь 2014г. по 6-10'!P107+'декабрь 2014г. по 0,4'!P104</f>
        <v>0</v>
      </c>
      <c r="Q107" s="31">
        <f>'декабрь 2014г. по 6-10'!Q107+'декабрь 2014г. по 0,4'!Q104</f>
        <v>0</v>
      </c>
    </row>
    <row r="108" spans="1:17" x14ac:dyDescent="0.2">
      <c r="A108" s="18"/>
      <c r="B108" s="53"/>
      <c r="C108" s="50" t="s">
        <v>179</v>
      </c>
      <c r="D108" s="31">
        <f>'декабрь 2014г. по 6-10'!D108+'декабрь 2014г. по 0,4'!D105</f>
        <v>27</v>
      </c>
      <c r="E108" s="31">
        <f>'декабрь 2014г. по 6-10'!E108+'декабрь 2014г. по 0,4'!E105</f>
        <v>1080</v>
      </c>
      <c r="F108" s="31">
        <f>'декабрь 2014г. по 6-10'!F108+'декабрь 2014г. по 0,4'!F105</f>
        <v>22</v>
      </c>
      <c r="G108" s="31">
        <f>'декабрь 2014г. по 6-10'!G108+'декабрь 2014г. по 0,4'!G105</f>
        <v>529</v>
      </c>
      <c r="H108" s="31">
        <f>'декабрь 2014г. по 6-10'!H108+'декабрь 2014г. по 0,4'!H105</f>
        <v>0</v>
      </c>
      <c r="I108" s="31">
        <f>'декабрь 2014г. по 6-10'!I108+'декабрь 2014г. по 0,4'!I105</f>
        <v>0</v>
      </c>
      <c r="J108" s="31">
        <f>'декабрь 2014г. по 6-10'!J108+'декабрь 2014г. по 0,4'!J105</f>
        <v>17</v>
      </c>
      <c r="K108" s="31">
        <f>'декабрь 2014г. по 6-10'!K108+'декабрь 2014г. по 0,4'!K105</f>
        <v>204</v>
      </c>
      <c r="L108" s="31">
        <f>'декабрь 2014г. по 6-10'!L108+'декабрь 2014г. по 0,4'!L105</f>
        <v>0</v>
      </c>
      <c r="M108" s="31">
        <f>'декабрь 2014г. по 6-10'!M108+'декабрь 2014г. по 0,4'!M105</f>
        <v>0</v>
      </c>
      <c r="N108" s="31">
        <f>'декабрь 2014г. по 6-10'!N108+'декабрь 2014г. по 0,4'!N105</f>
        <v>0</v>
      </c>
      <c r="O108" s="31">
        <f>'декабрь 2014г. по 6-10'!O108+'декабрь 2014г. по 0,4'!O105</f>
        <v>0</v>
      </c>
      <c r="P108" s="31">
        <f>'декабрь 2014г. по 6-10'!P108+'декабрь 2014г. по 0,4'!P105</f>
        <v>0</v>
      </c>
      <c r="Q108" s="31">
        <f>'декабрь 2014г. по 6-10'!Q108+'декабрь 2014г. по 0,4'!Q105</f>
        <v>0</v>
      </c>
    </row>
    <row r="109" spans="1:17" x14ac:dyDescent="0.2">
      <c r="A109" s="18"/>
      <c r="B109" s="53"/>
      <c r="C109" s="50" t="s">
        <v>180</v>
      </c>
      <c r="D109" s="31">
        <f>'декабрь 2014г. по 6-10'!D109+'декабрь 2014г. по 0,4'!D106</f>
        <v>16</v>
      </c>
      <c r="E109" s="31">
        <f>'декабрь 2014г. по 6-10'!E109+'декабрь 2014г. по 0,4'!E106</f>
        <v>894.5</v>
      </c>
      <c r="F109" s="31">
        <f>'декабрь 2014г. по 6-10'!F109+'декабрь 2014г. по 0,4'!F106</f>
        <v>12</v>
      </c>
      <c r="G109" s="31">
        <f>'декабрь 2014г. по 6-10'!G109+'декабрь 2014г. по 0,4'!G106</f>
        <v>169.5</v>
      </c>
      <c r="H109" s="31">
        <f>'декабрь 2014г. по 6-10'!H109+'декабрь 2014г. по 0,4'!H106</f>
        <v>0</v>
      </c>
      <c r="I109" s="31">
        <f>'декабрь 2014г. по 6-10'!I109+'декабрь 2014г. по 0,4'!I106</f>
        <v>0</v>
      </c>
      <c r="J109" s="31">
        <f>'декабрь 2014г. по 6-10'!J109+'декабрь 2014г. по 0,4'!J106</f>
        <v>7</v>
      </c>
      <c r="K109" s="31">
        <f>'декабрь 2014г. по 6-10'!K109+'декабрь 2014г. по 0,4'!K106</f>
        <v>64.5</v>
      </c>
      <c r="L109" s="31">
        <f>'декабрь 2014г. по 6-10'!L109+'декабрь 2014г. по 0,4'!L106</f>
        <v>0</v>
      </c>
      <c r="M109" s="31">
        <f>'декабрь 2014г. по 6-10'!M109+'декабрь 2014г. по 0,4'!M106</f>
        <v>0</v>
      </c>
      <c r="N109" s="31">
        <f>'декабрь 2014г. по 6-10'!N109+'декабрь 2014г. по 0,4'!N106</f>
        <v>0</v>
      </c>
      <c r="O109" s="31">
        <f>'декабрь 2014г. по 6-10'!O109+'декабрь 2014г. по 0,4'!O106</f>
        <v>0</v>
      </c>
      <c r="P109" s="31">
        <f>'декабрь 2014г. по 6-10'!P109+'декабрь 2014г. по 0,4'!P106</f>
        <v>0</v>
      </c>
      <c r="Q109" s="31">
        <f>'декабрь 2014г. по 6-10'!Q109+'декабрь 2014г. по 0,4'!Q106</f>
        <v>0</v>
      </c>
    </row>
    <row r="110" spans="1:17" x14ac:dyDescent="0.2">
      <c r="A110" s="18"/>
      <c r="B110" s="53"/>
      <c r="C110" s="50" t="s">
        <v>181</v>
      </c>
      <c r="D110" s="31">
        <f>'декабрь 2014г. по 6-10'!D110+'декабрь 2014г. по 0,4'!D107</f>
        <v>14</v>
      </c>
      <c r="E110" s="31">
        <f>'декабрь 2014г. по 6-10'!E110+'декабрь 2014г. по 0,4'!E107</f>
        <v>340</v>
      </c>
      <c r="F110" s="31">
        <f>'декабрь 2014г. по 6-10'!F110+'декабрь 2014г. по 0,4'!F107</f>
        <v>14</v>
      </c>
      <c r="G110" s="31">
        <f>'декабрь 2014г. по 6-10'!G110+'декабрь 2014г. по 0,4'!G107</f>
        <v>140</v>
      </c>
      <c r="H110" s="31">
        <f>'декабрь 2014г. по 6-10'!H110+'декабрь 2014г. по 0,4'!H107</f>
        <v>0</v>
      </c>
      <c r="I110" s="31">
        <f>'декабрь 2014г. по 6-10'!I110+'декабрь 2014г. по 0,4'!I107</f>
        <v>0</v>
      </c>
      <c r="J110" s="31">
        <f>'декабрь 2014г. по 6-10'!J110+'декабрь 2014г. по 0,4'!J107</f>
        <v>11</v>
      </c>
      <c r="K110" s="31">
        <f>'декабрь 2014г. по 6-10'!K110+'декабрь 2014г. по 0,4'!K107</f>
        <v>85</v>
      </c>
      <c r="L110" s="31">
        <f>'декабрь 2014г. по 6-10'!L110+'декабрь 2014г. по 0,4'!L107</f>
        <v>0</v>
      </c>
      <c r="M110" s="31">
        <f>'декабрь 2014г. по 6-10'!M110+'декабрь 2014г. по 0,4'!M107</f>
        <v>0</v>
      </c>
      <c r="N110" s="31">
        <f>'декабрь 2014г. по 6-10'!N110+'декабрь 2014г. по 0,4'!N107</f>
        <v>0</v>
      </c>
      <c r="O110" s="31">
        <f>'декабрь 2014г. по 6-10'!O110+'декабрь 2014г. по 0,4'!O107</f>
        <v>0</v>
      </c>
      <c r="P110" s="31">
        <f>'декабрь 2014г. по 6-10'!P110+'декабрь 2014г. по 0,4'!P107</f>
        <v>0</v>
      </c>
      <c r="Q110" s="31">
        <f>'декабрь 2014г. по 6-10'!Q110+'декабрь 2014г. по 0,4'!Q107</f>
        <v>0</v>
      </c>
    </row>
    <row r="111" spans="1:17" x14ac:dyDescent="0.2">
      <c r="A111" s="18"/>
      <c r="B111" s="53"/>
      <c r="C111" s="50" t="s">
        <v>182</v>
      </c>
      <c r="D111" s="31">
        <f>'декабрь 2014г. по 6-10'!D111+'декабрь 2014г. по 0,4'!D108</f>
        <v>46</v>
      </c>
      <c r="E111" s="31">
        <f>'декабрь 2014г. по 6-10'!E111+'декабрь 2014г. по 0,4'!E108</f>
        <v>835</v>
      </c>
      <c r="F111" s="31">
        <f>'декабрь 2014г. по 6-10'!F111+'декабрь 2014г. по 0,4'!F108</f>
        <v>30</v>
      </c>
      <c r="G111" s="31">
        <f>'декабрь 2014г. по 6-10'!G111+'декабрь 2014г. по 0,4'!G108</f>
        <v>314.5</v>
      </c>
      <c r="H111" s="31">
        <f>'декабрь 2014г. по 6-10'!H111+'декабрь 2014г. по 0,4'!H108</f>
        <v>0</v>
      </c>
      <c r="I111" s="31">
        <f>'декабрь 2014г. по 6-10'!I111+'декабрь 2014г. по 0,4'!I108</f>
        <v>0</v>
      </c>
      <c r="J111" s="31">
        <f>'декабрь 2014г. по 6-10'!J111+'декабрь 2014г. по 0,4'!J108</f>
        <v>41</v>
      </c>
      <c r="K111" s="31">
        <f>'декабрь 2014г. по 6-10'!K111+'декабрь 2014г. по 0,4'!K108</f>
        <v>415</v>
      </c>
      <c r="L111" s="31">
        <f>'декабрь 2014г. по 6-10'!L111+'декабрь 2014г. по 0,4'!L108</f>
        <v>0</v>
      </c>
      <c r="M111" s="31">
        <f>'декабрь 2014г. по 6-10'!M111+'декабрь 2014г. по 0,4'!M108</f>
        <v>0</v>
      </c>
      <c r="N111" s="31">
        <f>'декабрь 2014г. по 6-10'!N111+'декабрь 2014г. по 0,4'!N108</f>
        <v>0</v>
      </c>
      <c r="O111" s="31">
        <f>'декабрь 2014г. по 6-10'!O111+'декабрь 2014г. по 0,4'!O108</f>
        <v>0</v>
      </c>
      <c r="P111" s="31">
        <f>'декабрь 2014г. по 6-10'!P111+'декабрь 2014г. по 0,4'!P108</f>
        <v>0</v>
      </c>
      <c r="Q111" s="31">
        <f>'декабрь 2014г. по 6-10'!Q111+'декабрь 2014г. по 0,4'!Q108</f>
        <v>0</v>
      </c>
    </row>
    <row r="112" spans="1:17" x14ac:dyDescent="0.2">
      <c r="A112" s="18"/>
      <c r="B112" s="53"/>
      <c r="C112" s="50" t="s">
        <v>183</v>
      </c>
      <c r="D112" s="31">
        <f>'декабрь 2014г. по 6-10'!D112+'декабрь 2014г. по 0,4'!D109</f>
        <v>16</v>
      </c>
      <c r="E112" s="31">
        <f>'декабрь 2014г. по 6-10'!E112+'декабрь 2014г. по 0,4'!E109</f>
        <v>96</v>
      </c>
      <c r="F112" s="31">
        <f>'декабрь 2014г. по 6-10'!F112+'декабрь 2014г. по 0,4'!F109</f>
        <v>14</v>
      </c>
      <c r="G112" s="31">
        <f>'декабрь 2014г. по 6-10'!G112+'декабрь 2014г. по 0,4'!G109</f>
        <v>88</v>
      </c>
      <c r="H112" s="31">
        <f>'декабрь 2014г. по 6-10'!H112+'декабрь 2014г. по 0,4'!H109</f>
        <v>0</v>
      </c>
      <c r="I112" s="31">
        <f>'декабрь 2014г. по 6-10'!I112+'декабрь 2014г. по 0,4'!I109</f>
        <v>0</v>
      </c>
      <c r="J112" s="31">
        <f>'декабрь 2014г. по 6-10'!J112+'декабрь 2014г. по 0,4'!J109</f>
        <v>13</v>
      </c>
      <c r="K112" s="31">
        <f>'декабрь 2014г. по 6-10'!K112+'декабрь 2014г. по 0,4'!K109</f>
        <v>69</v>
      </c>
      <c r="L112" s="31">
        <f>'декабрь 2014г. по 6-10'!L112+'декабрь 2014г. по 0,4'!L109</f>
        <v>0</v>
      </c>
      <c r="M112" s="31">
        <f>'декабрь 2014г. по 6-10'!M112+'декабрь 2014г. по 0,4'!M109</f>
        <v>0</v>
      </c>
      <c r="N112" s="31">
        <f>'декабрь 2014г. по 6-10'!N112+'декабрь 2014г. по 0,4'!N109</f>
        <v>0</v>
      </c>
      <c r="O112" s="31">
        <f>'декабрь 2014г. по 6-10'!O112+'декабрь 2014г. по 0,4'!O109</f>
        <v>0</v>
      </c>
      <c r="P112" s="31">
        <f>'декабрь 2014г. по 6-10'!P112+'декабрь 2014г. по 0,4'!P109</f>
        <v>0</v>
      </c>
      <c r="Q112" s="31">
        <f>'декабрь 2014г. по 6-10'!Q112+'декабрь 2014г. по 0,4'!Q109</f>
        <v>0</v>
      </c>
    </row>
    <row r="113" spans="1:17" x14ac:dyDescent="0.2">
      <c r="A113" s="18"/>
      <c r="B113" s="53"/>
      <c r="C113" s="50" t="s">
        <v>184</v>
      </c>
      <c r="D113" s="31">
        <f>'декабрь 2014г. по 6-10'!D113+'декабрь 2014г. по 0,4'!D110</f>
        <v>11</v>
      </c>
      <c r="E113" s="31">
        <f>'декабрь 2014г. по 6-10'!E113+'декабрь 2014г. по 0,4'!E110</f>
        <v>100.65</v>
      </c>
      <c r="F113" s="31">
        <f>'декабрь 2014г. по 6-10'!F113+'декабрь 2014г. по 0,4'!F110</f>
        <v>10</v>
      </c>
      <c r="G113" s="31">
        <f>'декабрь 2014г. по 6-10'!G113+'декабрь 2014г. по 0,4'!G110</f>
        <v>71.400000000000006</v>
      </c>
      <c r="H113" s="31">
        <f>'декабрь 2014г. по 6-10'!H113+'декабрь 2014г. по 0,4'!H110</f>
        <v>0</v>
      </c>
      <c r="I113" s="31">
        <f>'декабрь 2014г. по 6-10'!I113+'декабрь 2014г. по 0,4'!I110</f>
        <v>0</v>
      </c>
      <c r="J113" s="31">
        <f>'декабрь 2014г. по 6-10'!J113+'декабрь 2014г. по 0,4'!J110</f>
        <v>9</v>
      </c>
      <c r="K113" s="31">
        <f>'декабрь 2014г. по 6-10'!K113+'декабрь 2014г. по 0,4'!K110</f>
        <v>46.4</v>
      </c>
      <c r="L113" s="31">
        <f>'декабрь 2014г. по 6-10'!L113+'декабрь 2014г. по 0,4'!L110</f>
        <v>0</v>
      </c>
      <c r="M113" s="31">
        <f>'декабрь 2014г. по 6-10'!M113+'декабрь 2014г. по 0,4'!M110</f>
        <v>0</v>
      </c>
      <c r="N113" s="31">
        <f>'декабрь 2014г. по 6-10'!N113+'декабрь 2014г. по 0,4'!N110</f>
        <v>0</v>
      </c>
      <c r="O113" s="31">
        <f>'декабрь 2014г. по 6-10'!O113+'декабрь 2014г. по 0,4'!O110</f>
        <v>0</v>
      </c>
      <c r="P113" s="31">
        <f>'декабрь 2014г. по 6-10'!P113+'декабрь 2014г. по 0,4'!P110</f>
        <v>0</v>
      </c>
      <c r="Q113" s="31">
        <f>'декабрь 2014г. по 6-10'!Q113+'декабрь 2014г. по 0,4'!Q110</f>
        <v>0</v>
      </c>
    </row>
    <row r="114" spans="1:17" x14ac:dyDescent="0.2">
      <c r="A114" s="18"/>
      <c r="B114" s="53"/>
      <c r="C114" s="50" t="s">
        <v>185</v>
      </c>
      <c r="D114" s="31">
        <f>'декабрь 2014г. по 6-10'!D114+'декабрь 2014г. по 0,4'!D111</f>
        <v>18</v>
      </c>
      <c r="E114" s="31">
        <f>'декабрь 2014г. по 6-10'!E114+'декабрь 2014г. по 0,4'!E111</f>
        <v>1655.5</v>
      </c>
      <c r="F114" s="31">
        <f>'декабрь 2014г. по 6-10'!F114+'декабрь 2014г. по 0,4'!F111</f>
        <v>11</v>
      </c>
      <c r="G114" s="31">
        <f>'декабрь 2014г. по 6-10'!G114+'декабрь 2014г. по 0,4'!G111</f>
        <v>509.5</v>
      </c>
      <c r="H114" s="31">
        <f>'декабрь 2014г. по 6-10'!H114+'декабрь 2014г. по 0,4'!H111</f>
        <v>0</v>
      </c>
      <c r="I114" s="31">
        <f>'декабрь 2014г. по 6-10'!I114+'декабрь 2014г. по 0,4'!I111</f>
        <v>0</v>
      </c>
      <c r="J114" s="31">
        <f>'декабрь 2014г. по 6-10'!J114+'декабрь 2014г. по 0,4'!J111</f>
        <v>14</v>
      </c>
      <c r="K114" s="31">
        <f>'декабрь 2014г. по 6-10'!K114+'декабрь 2014г. по 0,4'!K111</f>
        <v>174.5</v>
      </c>
      <c r="L114" s="31">
        <f>'декабрь 2014г. по 6-10'!L114+'декабрь 2014г. по 0,4'!L111</f>
        <v>0</v>
      </c>
      <c r="M114" s="31">
        <f>'декабрь 2014г. по 6-10'!M114+'декабрь 2014г. по 0,4'!M111</f>
        <v>0</v>
      </c>
      <c r="N114" s="31">
        <f>'декабрь 2014г. по 6-10'!N114+'декабрь 2014г. по 0,4'!N111</f>
        <v>0</v>
      </c>
      <c r="O114" s="31">
        <f>'декабрь 2014г. по 6-10'!O114+'декабрь 2014г. по 0,4'!O111</f>
        <v>0</v>
      </c>
      <c r="P114" s="31">
        <f>'декабрь 2014г. по 6-10'!P114+'декабрь 2014г. по 0,4'!P111</f>
        <v>0</v>
      </c>
      <c r="Q114" s="31">
        <f>'декабрь 2014г. по 6-10'!Q114+'декабрь 2014г. по 0,4'!Q111</f>
        <v>0</v>
      </c>
    </row>
    <row r="115" spans="1:17" x14ac:dyDescent="0.2">
      <c r="A115" s="18"/>
      <c r="B115" s="53"/>
      <c r="C115" s="50" t="s">
        <v>186</v>
      </c>
      <c r="D115" s="31">
        <f>'декабрь 2014г. по 6-10'!D115+'декабрь 2014г. по 0,4'!D112</f>
        <v>7</v>
      </c>
      <c r="E115" s="31">
        <f>'декабрь 2014г. по 6-10'!E115+'декабрь 2014г. по 0,4'!E112</f>
        <v>265</v>
      </c>
      <c r="F115" s="31">
        <f>'декабрь 2014г. по 6-10'!F115+'декабрь 2014г. по 0,4'!F112</f>
        <v>2</v>
      </c>
      <c r="G115" s="31">
        <f>'декабрь 2014г. по 6-10'!G115+'декабрь 2014г. по 0,4'!G112</f>
        <v>220</v>
      </c>
      <c r="H115" s="31">
        <f>'декабрь 2014г. по 6-10'!H115+'декабрь 2014г. по 0,4'!H112</f>
        <v>0</v>
      </c>
      <c r="I115" s="31">
        <f>'декабрь 2014г. по 6-10'!I115+'декабрь 2014г. по 0,4'!I112</f>
        <v>0</v>
      </c>
      <c r="J115" s="31">
        <f>'декабрь 2014г. по 6-10'!J115+'декабрь 2014г. по 0,4'!J112</f>
        <v>5</v>
      </c>
      <c r="K115" s="31">
        <f>'декабрь 2014г. по 6-10'!K115+'декабрь 2014г. по 0,4'!K112</f>
        <v>45</v>
      </c>
      <c r="L115" s="31">
        <f>'декабрь 2014г. по 6-10'!L115+'декабрь 2014г. по 0,4'!L112</f>
        <v>0</v>
      </c>
      <c r="M115" s="31">
        <f>'декабрь 2014г. по 6-10'!M115+'декабрь 2014г. по 0,4'!M112</f>
        <v>0</v>
      </c>
      <c r="N115" s="31">
        <f>'декабрь 2014г. по 6-10'!N115+'декабрь 2014г. по 0,4'!N112</f>
        <v>0</v>
      </c>
      <c r="O115" s="31">
        <f>'декабрь 2014г. по 6-10'!O115+'декабрь 2014г. по 0,4'!O112</f>
        <v>0</v>
      </c>
      <c r="P115" s="31">
        <f>'декабрь 2014г. по 6-10'!P115+'декабрь 2014г. по 0,4'!P112</f>
        <v>0</v>
      </c>
      <c r="Q115" s="31">
        <f>'декабрь 2014г. по 6-10'!Q115+'декабрь 2014г. по 0,4'!Q112</f>
        <v>0</v>
      </c>
    </row>
    <row r="116" spans="1:17" x14ac:dyDescent="0.2">
      <c r="A116" s="18"/>
      <c r="B116" s="53"/>
      <c r="C116" s="50" t="s">
        <v>187</v>
      </c>
      <c r="D116" s="31">
        <f>'декабрь 2014г. по 6-10'!D116+'декабрь 2014г. по 0,4'!D113</f>
        <v>5</v>
      </c>
      <c r="E116" s="31">
        <f>'декабрь 2014г. по 6-10'!E116+'декабрь 2014г. по 0,4'!E113</f>
        <v>50</v>
      </c>
      <c r="F116" s="31">
        <f>'декабрь 2014г. по 6-10'!F116+'декабрь 2014г. по 0,4'!F113</f>
        <v>0</v>
      </c>
      <c r="G116" s="31">
        <f>'декабрь 2014г. по 6-10'!G116+'декабрь 2014г. по 0,4'!G113</f>
        <v>0</v>
      </c>
      <c r="H116" s="31">
        <f>'декабрь 2014г. по 6-10'!H116+'декабрь 2014г. по 0,4'!H113</f>
        <v>0</v>
      </c>
      <c r="I116" s="31">
        <f>'декабрь 2014г. по 6-10'!I116+'декабрь 2014г. по 0,4'!I113</f>
        <v>0</v>
      </c>
      <c r="J116" s="31">
        <f>'декабрь 2014г. по 6-10'!J116+'декабрь 2014г. по 0,4'!J113</f>
        <v>5</v>
      </c>
      <c r="K116" s="31">
        <f>'декабрь 2014г. по 6-10'!K116+'декабрь 2014г. по 0,4'!K113</f>
        <v>50</v>
      </c>
      <c r="L116" s="31">
        <f>'декабрь 2014г. по 6-10'!L116+'декабрь 2014г. по 0,4'!L113</f>
        <v>0</v>
      </c>
      <c r="M116" s="31">
        <f>'декабрь 2014г. по 6-10'!M116+'декабрь 2014г. по 0,4'!M113</f>
        <v>0</v>
      </c>
      <c r="N116" s="31">
        <f>'декабрь 2014г. по 6-10'!N116+'декабрь 2014г. по 0,4'!N113</f>
        <v>0</v>
      </c>
      <c r="O116" s="31">
        <f>'декабрь 2014г. по 6-10'!O116+'декабрь 2014г. по 0,4'!O113</f>
        <v>0</v>
      </c>
      <c r="P116" s="31">
        <f>'декабрь 2014г. по 6-10'!P116+'декабрь 2014г. по 0,4'!P113</f>
        <v>0</v>
      </c>
      <c r="Q116" s="31">
        <f>'декабрь 2014г. по 6-10'!Q116+'декабрь 2014г. по 0,4'!Q113</f>
        <v>0</v>
      </c>
    </row>
    <row r="117" spans="1:17" x14ac:dyDescent="0.2">
      <c r="A117" s="18"/>
      <c r="B117" s="53"/>
      <c r="C117" s="50" t="s">
        <v>188</v>
      </c>
      <c r="D117" s="31">
        <f>'декабрь 2014г. по 6-10'!D117+'декабрь 2014г. по 0,4'!D114</f>
        <v>40</v>
      </c>
      <c r="E117" s="31">
        <f>'декабрь 2014г. по 6-10'!E117+'декабрь 2014г. по 0,4'!E114</f>
        <v>2535.9</v>
      </c>
      <c r="F117" s="31">
        <f>'декабрь 2014г. по 6-10'!F117+'декабрь 2014г. по 0,4'!F114</f>
        <v>30</v>
      </c>
      <c r="G117" s="31">
        <f>'декабрь 2014г. по 6-10'!G117+'декабрь 2014г. по 0,4'!G114</f>
        <v>1282.9000000000001</v>
      </c>
      <c r="H117" s="31">
        <f>'декабрь 2014г. по 6-10'!H117+'декабрь 2014г. по 0,4'!H114</f>
        <v>0</v>
      </c>
      <c r="I117" s="31">
        <f>'декабрь 2014г. по 6-10'!I117+'декабрь 2014г. по 0,4'!I114</f>
        <v>0</v>
      </c>
      <c r="J117" s="31">
        <f>'декабрь 2014г. по 6-10'!J117+'декабрь 2014г. по 0,4'!J114</f>
        <v>32</v>
      </c>
      <c r="K117" s="31">
        <f>'декабрь 2014г. по 6-10'!K117+'декабрь 2014г. по 0,4'!K114</f>
        <v>880.9</v>
      </c>
      <c r="L117" s="31">
        <f>'декабрь 2014г. по 6-10'!L117+'декабрь 2014г. по 0,4'!L114</f>
        <v>0</v>
      </c>
      <c r="M117" s="31">
        <f>'декабрь 2014г. по 6-10'!M117+'декабрь 2014г. по 0,4'!M114</f>
        <v>0</v>
      </c>
      <c r="N117" s="31">
        <f>'декабрь 2014г. по 6-10'!N117+'декабрь 2014г. по 0,4'!N114</f>
        <v>0</v>
      </c>
      <c r="O117" s="31">
        <f>'декабрь 2014г. по 6-10'!O117+'декабрь 2014г. по 0,4'!O114</f>
        <v>0</v>
      </c>
      <c r="P117" s="31">
        <f>'декабрь 2014г. по 6-10'!P117+'декабрь 2014г. по 0,4'!P114</f>
        <v>0</v>
      </c>
      <c r="Q117" s="31">
        <f>'декабрь 2014г. по 6-10'!Q117+'декабрь 2014г. по 0,4'!Q114</f>
        <v>0</v>
      </c>
    </row>
    <row r="118" spans="1:17" x14ac:dyDescent="0.2">
      <c r="A118" s="18"/>
      <c r="B118" s="53"/>
      <c r="C118" s="50" t="s">
        <v>189</v>
      </c>
      <c r="D118" s="31">
        <f>'декабрь 2014г. по 6-10'!D118+'декабрь 2014г. по 0,4'!D115</f>
        <v>22</v>
      </c>
      <c r="E118" s="31">
        <f>'декабрь 2014г. по 6-10'!E118+'декабрь 2014г. по 0,4'!E115</f>
        <v>1445</v>
      </c>
      <c r="F118" s="31">
        <f>'декабрь 2014г. по 6-10'!F118+'декабрь 2014г. по 0,4'!F115</f>
        <v>7</v>
      </c>
      <c r="G118" s="31">
        <f>'декабрь 2014г. по 6-10'!G118+'декабрь 2014г. по 0,4'!G115</f>
        <v>156</v>
      </c>
      <c r="H118" s="31">
        <f>'декабрь 2014г. по 6-10'!H118+'декабрь 2014г. по 0,4'!H115</f>
        <v>0</v>
      </c>
      <c r="I118" s="31">
        <f>'декабрь 2014г. по 6-10'!I118+'декабрь 2014г. по 0,4'!I115</f>
        <v>0</v>
      </c>
      <c r="J118" s="31">
        <f>'декабрь 2014г. по 6-10'!J118+'декабрь 2014г. по 0,4'!J115</f>
        <v>15</v>
      </c>
      <c r="K118" s="31">
        <f>'декабрь 2014г. по 6-10'!K118+'декабрь 2014г. по 0,4'!K115</f>
        <v>150</v>
      </c>
      <c r="L118" s="31">
        <f>'декабрь 2014г. по 6-10'!L118+'декабрь 2014г. по 0,4'!L115</f>
        <v>0</v>
      </c>
      <c r="M118" s="31">
        <f>'декабрь 2014г. по 6-10'!M118+'декабрь 2014г. по 0,4'!M115</f>
        <v>0</v>
      </c>
      <c r="N118" s="31">
        <f>'декабрь 2014г. по 6-10'!N118+'декабрь 2014г. по 0,4'!N115</f>
        <v>0</v>
      </c>
      <c r="O118" s="31">
        <f>'декабрь 2014г. по 6-10'!O118+'декабрь 2014г. по 0,4'!O115</f>
        <v>0</v>
      </c>
      <c r="P118" s="31">
        <f>'декабрь 2014г. по 6-10'!P118+'декабрь 2014г. по 0,4'!P115</f>
        <v>0</v>
      </c>
      <c r="Q118" s="31">
        <f>'декабрь 2014г. по 6-10'!Q118+'декабрь 2014г. по 0,4'!Q115</f>
        <v>0</v>
      </c>
    </row>
    <row r="119" spans="1:17" x14ac:dyDescent="0.2">
      <c r="A119" s="18"/>
      <c r="B119" s="53"/>
      <c r="C119" s="50" t="s">
        <v>190</v>
      </c>
      <c r="D119" s="31">
        <f>'декабрь 2014г. по 6-10'!D119+'декабрь 2014г. по 0,4'!D116</f>
        <v>5</v>
      </c>
      <c r="E119" s="31">
        <f>'декабрь 2014г. по 6-10'!E119+'декабрь 2014г. по 0,4'!E116</f>
        <v>241</v>
      </c>
      <c r="F119" s="31">
        <f>'декабрь 2014г. по 6-10'!F119+'декабрь 2014г. по 0,4'!F116</f>
        <v>5</v>
      </c>
      <c r="G119" s="31">
        <f>'декабрь 2014г. по 6-10'!G119+'декабрь 2014г. по 0,4'!G116</f>
        <v>241</v>
      </c>
      <c r="H119" s="31">
        <f>'декабрь 2014г. по 6-10'!H119+'декабрь 2014г. по 0,4'!H116</f>
        <v>0</v>
      </c>
      <c r="I119" s="31">
        <f>'декабрь 2014г. по 6-10'!I119+'декабрь 2014г. по 0,4'!I116</f>
        <v>0</v>
      </c>
      <c r="J119" s="31">
        <f>'декабрь 2014г. по 6-10'!J119+'декабрь 2014г. по 0,4'!J116</f>
        <v>3</v>
      </c>
      <c r="K119" s="31">
        <f>'декабрь 2014г. по 6-10'!K119+'декабрь 2014г. по 0,4'!K116</f>
        <v>43</v>
      </c>
      <c r="L119" s="31">
        <f>'декабрь 2014г. по 6-10'!L119+'декабрь 2014г. по 0,4'!L116</f>
        <v>0</v>
      </c>
      <c r="M119" s="31">
        <f>'декабрь 2014г. по 6-10'!M119+'декабрь 2014г. по 0,4'!M116</f>
        <v>0</v>
      </c>
      <c r="N119" s="31">
        <f>'декабрь 2014г. по 6-10'!N119+'декабрь 2014г. по 0,4'!N116</f>
        <v>0</v>
      </c>
      <c r="O119" s="31">
        <f>'декабрь 2014г. по 6-10'!O119+'декабрь 2014г. по 0,4'!O116</f>
        <v>0</v>
      </c>
      <c r="P119" s="31">
        <f>'декабрь 2014г. по 6-10'!P119+'декабрь 2014г. по 0,4'!P116</f>
        <v>0</v>
      </c>
      <c r="Q119" s="31">
        <f>'декабрь 2014г. по 6-10'!Q119+'декабрь 2014г. по 0,4'!Q116</f>
        <v>0</v>
      </c>
    </row>
    <row r="120" spans="1:17" x14ac:dyDescent="0.2">
      <c r="A120" s="18"/>
      <c r="B120" s="53"/>
      <c r="C120" s="50" t="s">
        <v>191</v>
      </c>
      <c r="D120" s="31">
        <f>'декабрь 2014г. по 6-10'!D120+'декабрь 2014г. по 0,4'!D117</f>
        <v>0</v>
      </c>
      <c r="E120" s="31">
        <f>'декабрь 2014г. по 6-10'!E120+'декабрь 2014г. по 0,4'!E117</f>
        <v>0</v>
      </c>
      <c r="F120" s="31">
        <f>'декабрь 2014г. по 6-10'!F120+'декабрь 2014г. по 0,4'!F117</f>
        <v>0</v>
      </c>
      <c r="G120" s="31">
        <f>'декабрь 2014г. по 6-10'!G120+'декабрь 2014г. по 0,4'!G117</f>
        <v>0</v>
      </c>
      <c r="H120" s="31">
        <f>'декабрь 2014г. по 6-10'!H120+'декабрь 2014г. по 0,4'!H117</f>
        <v>0</v>
      </c>
      <c r="I120" s="31">
        <f>'декабрь 2014г. по 6-10'!I120+'декабрь 2014г. по 0,4'!I117</f>
        <v>0</v>
      </c>
      <c r="J120" s="31">
        <f>'декабрь 2014г. по 6-10'!J120+'декабрь 2014г. по 0,4'!J117</f>
        <v>0</v>
      </c>
      <c r="K120" s="31">
        <f>'декабрь 2014г. по 6-10'!K120+'декабрь 2014г. по 0,4'!K117</f>
        <v>0</v>
      </c>
      <c r="L120" s="31">
        <f>'декабрь 2014г. по 6-10'!L120+'декабрь 2014г. по 0,4'!L117</f>
        <v>0</v>
      </c>
      <c r="M120" s="31">
        <f>'декабрь 2014г. по 6-10'!M120+'декабрь 2014г. по 0,4'!M117</f>
        <v>0</v>
      </c>
      <c r="N120" s="31">
        <f>'декабрь 2014г. по 6-10'!N120+'декабрь 2014г. по 0,4'!N117</f>
        <v>0</v>
      </c>
      <c r="O120" s="31">
        <f>'декабрь 2014г. по 6-10'!O120+'декабрь 2014г. по 0,4'!O117</f>
        <v>0</v>
      </c>
      <c r="P120" s="31">
        <f>'декабрь 2014г. по 6-10'!P120+'декабрь 2014г. по 0,4'!P117</f>
        <v>0</v>
      </c>
      <c r="Q120" s="31">
        <f>'декабрь 2014г. по 6-10'!Q120+'декабрь 2014г. по 0,4'!Q117</f>
        <v>0</v>
      </c>
    </row>
    <row r="121" spans="1:17" x14ac:dyDescent="0.2">
      <c r="A121" s="18"/>
      <c r="B121" s="53"/>
      <c r="C121" s="50" t="s">
        <v>192</v>
      </c>
      <c r="D121" s="31">
        <f>'декабрь 2014г. по 6-10'!D121+'декабрь 2014г. по 0,4'!D118</f>
        <v>12</v>
      </c>
      <c r="E121" s="31">
        <f>'декабрь 2014г. по 6-10'!E121+'декабрь 2014г. по 0,4'!E118</f>
        <v>90</v>
      </c>
      <c r="F121" s="31">
        <f>'декабрь 2014г. по 6-10'!F121+'декабрь 2014г. по 0,4'!F118</f>
        <v>0</v>
      </c>
      <c r="G121" s="31">
        <f>'декабрь 2014г. по 6-10'!G121+'декабрь 2014г. по 0,4'!G118</f>
        <v>0</v>
      </c>
      <c r="H121" s="31">
        <f>'декабрь 2014г. по 6-10'!H121+'декабрь 2014г. по 0,4'!H118</f>
        <v>0</v>
      </c>
      <c r="I121" s="31">
        <f>'декабрь 2014г. по 6-10'!I121+'декабрь 2014г. по 0,4'!I118</f>
        <v>0</v>
      </c>
      <c r="J121" s="31">
        <f>'декабрь 2014г. по 6-10'!J121+'декабрь 2014г. по 0,4'!J118</f>
        <v>12</v>
      </c>
      <c r="K121" s="31">
        <f>'декабрь 2014г. по 6-10'!K121+'декабрь 2014г. по 0,4'!K118</f>
        <v>90</v>
      </c>
      <c r="L121" s="31">
        <f>'декабрь 2014г. по 6-10'!L121+'декабрь 2014г. по 0,4'!L118</f>
        <v>0</v>
      </c>
      <c r="M121" s="31">
        <f>'декабрь 2014г. по 6-10'!M121+'декабрь 2014г. по 0,4'!M118</f>
        <v>0</v>
      </c>
      <c r="N121" s="31">
        <f>'декабрь 2014г. по 6-10'!N121+'декабрь 2014г. по 0,4'!N118</f>
        <v>0</v>
      </c>
      <c r="O121" s="31">
        <f>'декабрь 2014г. по 6-10'!O121+'декабрь 2014г. по 0,4'!O118</f>
        <v>0</v>
      </c>
      <c r="P121" s="31">
        <f>'декабрь 2014г. по 6-10'!P121+'декабрь 2014г. по 0,4'!P118</f>
        <v>0</v>
      </c>
      <c r="Q121" s="31">
        <f>'декабрь 2014г. по 6-10'!Q121+'декабрь 2014г. по 0,4'!Q118</f>
        <v>0</v>
      </c>
    </row>
    <row r="122" spans="1:17" x14ac:dyDescent="0.2">
      <c r="A122" s="18"/>
      <c r="B122" s="53"/>
      <c r="C122" s="50" t="s">
        <v>193</v>
      </c>
      <c r="D122" s="31">
        <f>'декабрь 2014г. по 6-10'!D122+'декабрь 2014г. по 0,4'!D119</f>
        <v>7</v>
      </c>
      <c r="E122" s="31">
        <f>'декабрь 2014г. по 6-10'!E122+'декабрь 2014г. по 0,4'!E119</f>
        <v>76.900000000000006</v>
      </c>
      <c r="F122" s="31">
        <f>'декабрь 2014г. по 6-10'!F122+'декабрь 2014г. по 0,4'!F119</f>
        <v>7</v>
      </c>
      <c r="G122" s="31">
        <f>'декабрь 2014г. по 6-10'!G122+'декабрь 2014г. по 0,4'!G119</f>
        <v>76.900000000000006</v>
      </c>
      <c r="H122" s="31">
        <f>'декабрь 2014г. по 6-10'!H122+'декабрь 2014г. по 0,4'!H119</f>
        <v>0</v>
      </c>
      <c r="I122" s="31">
        <f>'декабрь 2014г. по 6-10'!I122+'декабрь 2014г. по 0,4'!I119</f>
        <v>0</v>
      </c>
      <c r="J122" s="31">
        <f>'декабрь 2014г. по 6-10'!J122+'декабрь 2014г. по 0,4'!J119</f>
        <v>7</v>
      </c>
      <c r="K122" s="31">
        <f>'декабрь 2014г. по 6-10'!K122+'декабрь 2014г. по 0,4'!K119</f>
        <v>76.5</v>
      </c>
      <c r="L122" s="31">
        <f>'декабрь 2014г. по 6-10'!L122+'декабрь 2014г. по 0,4'!L119</f>
        <v>0</v>
      </c>
      <c r="M122" s="31">
        <f>'декабрь 2014г. по 6-10'!M122+'декабрь 2014г. по 0,4'!M119</f>
        <v>0</v>
      </c>
      <c r="N122" s="31">
        <f>'декабрь 2014г. по 6-10'!N122+'декабрь 2014г. по 0,4'!N119</f>
        <v>0</v>
      </c>
      <c r="O122" s="31">
        <f>'декабрь 2014г. по 6-10'!O122+'декабрь 2014г. по 0,4'!O119</f>
        <v>0</v>
      </c>
      <c r="P122" s="31">
        <f>'декабрь 2014г. по 6-10'!P122+'декабрь 2014г. по 0,4'!P119</f>
        <v>0</v>
      </c>
      <c r="Q122" s="31">
        <f>'декабрь 2014г. по 6-10'!Q122+'декабрь 2014г. по 0,4'!Q119</f>
        <v>0</v>
      </c>
    </row>
    <row r="123" spans="1:17" x14ac:dyDescent="0.2">
      <c r="A123" s="18"/>
      <c r="B123" s="53"/>
      <c r="C123" s="50" t="s">
        <v>194</v>
      </c>
      <c r="D123" s="31">
        <f>'декабрь 2014г. по 6-10'!D123+'декабрь 2014г. по 0,4'!D120</f>
        <v>15</v>
      </c>
      <c r="E123" s="31">
        <f>'декабрь 2014г. по 6-10'!E123+'декабрь 2014г. по 0,4'!E120</f>
        <v>336.5</v>
      </c>
      <c r="F123" s="31">
        <f>'декабрь 2014г. по 6-10'!F123+'декабрь 2014г. по 0,4'!F120</f>
        <v>15</v>
      </c>
      <c r="G123" s="31">
        <f>'декабрь 2014г. по 6-10'!G123+'декабрь 2014г. по 0,4'!G120</f>
        <v>336.5</v>
      </c>
      <c r="H123" s="31">
        <f>'декабрь 2014г. по 6-10'!H123+'декабрь 2014г. по 0,4'!H120</f>
        <v>0</v>
      </c>
      <c r="I123" s="31">
        <f>'декабрь 2014г. по 6-10'!I123+'декабрь 2014г. по 0,4'!I120</f>
        <v>0</v>
      </c>
      <c r="J123" s="31">
        <f>'декабрь 2014г. по 6-10'!J123+'декабрь 2014г. по 0,4'!J120</f>
        <v>11</v>
      </c>
      <c r="K123" s="31">
        <f>'декабрь 2014г. по 6-10'!K123+'декабрь 2014г. по 0,4'!K120</f>
        <v>50</v>
      </c>
      <c r="L123" s="31">
        <f>'декабрь 2014г. по 6-10'!L123+'декабрь 2014г. по 0,4'!L120</f>
        <v>0</v>
      </c>
      <c r="M123" s="31">
        <f>'декабрь 2014г. по 6-10'!M123+'декабрь 2014г. по 0,4'!M120</f>
        <v>0</v>
      </c>
      <c r="N123" s="31">
        <f>'декабрь 2014г. по 6-10'!N123+'декабрь 2014г. по 0,4'!N120</f>
        <v>0</v>
      </c>
      <c r="O123" s="31">
        <f>'декабрь 2014г. по 6-10'!O123+'декабрь 2014г. по 0,4'!O120</f>
        <v>0</v>
      </c>
      <c r="P123" s="31">
        <f>'декабрь 2014г. по 6-10'!P123+'декабрь 2014г. по 0,4'!P120</f>
        <v>0</v>
      </c>
      <c r="Q123" s="31">
        <f>'декабрь 2014г. по 6-10'!Q123+'декабрь 2014г. по 0,4'!Q120</f>
        <v>0</v>
      </c>
    </row>
    <row r="124" spans="1:17" x14ac:dyDescent="0.2">
      <c r="A124" s="18"/>
      <c r="B124" s="53"/>
      <c r="C124" s="50" t="s">
        <v>195</v>
      </c>
      <c r="D124" s="31">
        <f>'декабрь 2014г. по 6-10'!D124+'декабрь 2014г. по 0,4'!D121</f>
        <v>3</v>
      </c>
      <c r="E124" s="31">
        <f>'декабрь 2014г. по 6-10'!E124+'декабрь 2014г. по 0,4'!E121</f>
        <v>12.5</v>
      </c>
      <c r="F124" s="31">
        <f>'декабрь 2014г. по 6-10'!F124+'декабрь 2014г. по 0,4'!F121</f>
        <v>3</v>
      </c>
      <c r="G124" s="31">
        <f>'декабрь 2014г. по 6-10'!G124+'декабрь 2014г. по 0,4'!G121</f>
        <v>12.5</v>
      </c>
      <c r="H124" s="31">
        <f>'декабрь 2014г. по 6-10'!H124+'декабрь 2014г. по 0,4'!H121</f>
        <v>0</v>
      </c>
      <c r="I124" s="31">
        <f>'декабрь 2014г. по 6-10'!I124+'декабрь 2014г. по 0,4'!I121</f>
        <v>0</v>
      </c>
      <c r="J124" s="31">
        <f>'декабрь 2014г. по 6-10'!J124+'декабрь 2014г. по 0,4'!J121</f>
        <v>3</v>
      </c>
      <c r="K124" s="31">
        <f>'декабрь 2014г. по 6-10'!K124+'декабрь 2014г. по 0,4'!K121</f>
        <v>12.5</v>
      </c>
      <c r="L124" s="31">
        <f>'декабрь 2014г. по 6-10'!L124+'декабрь 2014г. по 0,4'!L121</f>
        <v>0</v>
      </c>
      <c r="M124" s="31">
        <f>'декабрь 2014г. по 6-10'!M124+'декабрь 2014г. по 0,4'!M121</f>
        <v>0</v>
      </c>
      <c r="N124" s="31">
        <f>'декабрь 2014г. по 6-10'!N124+'декабрь 2014г. по 0,4'!N121</f>
        <v>0</v>
      </c>
      <c r="O124" s="31">
        <f>'декабрь 2014г. по 6-10'!O124+'декабрь 2014г. по 0,4'!O121</f>
        <v>0</v>
      </c>
      <c r="P124" s="31">
        <f>'декабрь 2014г. по 6-10'!P124+'декабрь 2014г. по 0,4'!P121</f>
        <v>0</v>
      </c>
      <c r="Q124" s="31">
        <f>'декабрь 2014г. по 6-10'!Q124+'декабрь 2014г. по 0,4'!Q121</f>
        <v>0</v>
      </c>
    </row>
    <row r="125" spans="1:17" x14ac:dyDescent="0.2">
      <c r="A125" s="18"/>
      <c r="B125" s="53"/>
      <c r="C125" s="50" t="s">
        <v>196</v>
      </c>
      <c r="D125" s="31">
        <f>'декабрь 2014г. по 6-10'!D125+'декабрь 2014г. по 0,4'!D122</f>
        <v>12</v>
      </c>
      <c r="E125" s="31">
        <f>'декабрь 2014г. по 6-10'!E125+'декабрь 2014г. по 0,4'!E122</f>
        <v>254.8</v>
      </c>
      <c r="F125" s="31">
        <f>'декабрь 2014г. по 6-10'!F125+'декабрь 2014г. по 0,4'!F122</f>
        <v>10</v>
      </c>
      <c r="G125" s="31">
        <f>'декабрь 2014г. по 6-10'!G125+'декабрь 2014г. по 0,4'!G122</f>
        <v>65.8</v>
      </c>
      <c r="H125" s="31">
        <f>'декабрь 2014г. по 6-10'!H125+'декабрь 2014г. по 0,4'!H122</f>
        <v>0</v>
      </c>
      <c r="I125" s="31">
        <f>'декабрь 2014г. по 6-10'!I125+'декабрь 2014г. по 0,4'!I122</f>
        <v>0</v>
      </c>
      <c r="J125" s="31">
        <f>'декабрь 2014г. по 6-10'!J125+'декабрь 2014г. по 0,4'!J122</f>
        <v>10</v>
      </c>
      <c r="K125" s="31">
        <f>'декабрь 2014г. по 6-10'!K125+'декабрь 2014г. по 0,4'!K122</f>
        <v>65.8</v>
      </c>
      <c r="L125" s="31">
        <f>'декабрь 2014г. по 6-10'!L125+'декабрь 2014г. по 0,4'!L122</f>
        <v>0</v>
      </c>
      <c r="M125" s="31">
        <f>'декабрь 2014г. по 6-10'!M125+'декабрь 2014г. по 0,4'!M122</f>
        <v>0</v>
      </c>
      <c r="N125" s="31">
        <f>'декабрь 2014г. по 6-10'!N125+'декабрь 2014г. по 0,4'!N122</f>
        <v>0</v>
      </c>
      <c r="O125" s="31">
        <f>'декабрь 2014г. по 6-10'!O125+'декабрь 2014г. по 0,4'!O122</f>
        <v>0</v>
      </c>
      <c r="P125" s="31">
        <f>'декабрь 2014г. по 6-10'!P125+'декабрь 2014г. по 0,4'!P122</f>
        <v>0</v>
      </c>
      <c r="Q125" s="31">
        <f>'декабрь 2014г. по 6-10'!Q125+'декабрь 2014г. по 0,4'!Q122</f>
        <v>0</v>
      </c>
    </row>
    <row r="126" spans="1:17" ht="12.75" customHeight="1" x14ac:dyDescent="0.2">
      <c r="A126" s="18"/>
      <c r="B126" s="53"/>
      <c r="C126" s="50" t="s">
        <v>197</v>
      </c>
      <c r="D126" s="31">
        <f>'декабрь 2014г. по 6-10'!D126+'декабрь 2014г. по 0,4'!D123</f>
        <v>5</v>
      </c>
      <c r="E126" s="31">
        <f>'декабрь 2014г. по 6-10'!E126+'декабрь 2014г. по 0,4'!E123</f>
        <v>130</v>
      </c>
      <c r="F126" s="31">
        <f>'декабрь 2014г. по 6-10'!F126+'декабрь 2014г. по 0,4'!F123</f>
        <v>5</v>
      </c>
      <c r="G126" s="31">
        <f>'декабрь 2014г. по 6-10'!G126+'декабрь 2014г. по 0,4'!G123</f>
        <v>130</v>
      </c>
      <c r="H126" s="31">
        <f>'декабрь 2014г. по 6-10'!H126+'декабрь 2014г. по 0,4'!H123</f>
        <v>0</v>
      </c>
      <c r="I126" s="31">
        <f>'декабрь 2014г. по 6-10'!I126+'декабрь 2014г. по 0,4'!I123</f>
        <v>0</v>
      </c>
      <c r="J126" s="31">
        <f>'декабрь 2014г. по 6-10'!J126+'декабрь 2014г. по 0,4'!J123</f>
        <v>3</v>
      </c>
      <c r="K126" s="31">
        <f>'декабрь 2014г. по 6-10'!K126+'декабрь 2014г. по 0,4'!K123</f>
        <v>15</v>
      </c>
      <c r="L126" s="31">
        <f>'декабрь 2014г. по 6-10'!L126+'декабрь 2014г. по 0,4'!L123</f>
        <v>0</v>
      </c>
      <c r="M126" s="31">
        <f>'декабрь 2014г. по 6-10'!M126+'декабрь 2014г. по 0,4'!M123</f>
        <v>0</v>
      </c>
      <c r="N126" s="31">
        <f>'декабрь 2014г. по 6-10'!N126+'декабрь 2014г. по 0,4'!N123</f>
        <v>0</v>
      </c>
      <c r="O126" s="31">
        <f>'декабрь 2014г. по 6-10'!O126+'декабрь 2014г. по 0,4'!O123</f>
        <v>0</v>
      </c>
      <c r="P126" s="31">
        <f>'декабрь 2014г. по 6-10'!P126+'декабрь 2014г. по 0,4'!P123</f>
        <v>0</v>
      </c>
      <c r="Q126" s="31">
        <f>'декабрь 2014г. по 6-10'!Q126+'декабрь 2014г. по 0,4'!Q123</f>
        <v>0</v>
      </c>
    </row>
    <row r="127" spans="1:17" ht="12.75" customHeight="1" x14ac:dyDescent="0.2">
      <c r="A127" s="18"/>
      <c r="B127" s="53"/>
      <c r="C127" s="50" t="s">
        <v>198</v>
      </c>
      <c r="D127" s="31">
        <f>'декабрь 2014г. по 6-10'!D127+'декабрь 2014г. по 0,4'!D124</f>
        <v>1</v>
      </c>
      <c r="E127" s="31">
        <f>'декабрь 2014г. по 6-10'!E127+'декабрь 2014г. по 0,4'!E124</f>
        <v>160</v>
      </c>
      <c r="F127" s="31">
        <f>'декабрь 2014г. по 6-10'!F127+'декабрь 2014г. по 0,4'!F124</f>
        <v>1</v>
      </c>
      <c r="G127" s="31">
        <f>'декабрь 2014г. по 6-10'!G127+'декабрь 2014г. по 0,4'!G124</f>
        <v>160</v>
      </c>
      <c r="H127" s="31">
        <f>'декабрь 2014г. по 6-10'!H127+'декабрь 2014г. по 0,4'!H124</f>
        <v>0</v>
      </c>
      <c r="I127" s="31">
        <f>'декабрь 2014г. по 6-10'!I127+'декабрь 2014г. по 0,4'!I124</f>
        <v>0</v>
      </c>
      <c r="J127" s="31">
        <f>'декабрь 2014г. по 6-10'!J127+'декабрь 2014г. по 0,4'!J124</f>
        <v>0</v>
      </c>
      <c r="K127" s="31">
        <f>'декабрь 2014г. по 6-10'!K127+'декабрь 2014г. по 0,4'!K124</f>
        <v>0</v>
      </c>
      <c r="L127" s="31">
        <f>'декабрь 2014г. по 6-10'!L127+'декабрь 2014г. по 0,4'!L124</f>
        <v>0</v>
      </c>
      <c r="M127" s="31">
        <f>'декабрь 2014г. по 6-10'!M127+'декабрь 2014г. по 0,4'!M124</f>
        <v>0</v>
      </c>
      <c r="N127" s="31">
        <f>'декабрь 2014г. по 6-10'!N127+'декабрь 2014г. по 0,4'!N124</f>
        <v>0</v>
      </c>
      <c r="O127" s="31">
        <f>'декабрь 2014г. по 6-10'!O127+'декабрь 2014г. по 0,4'!O124</f>
        <v>0</v>
      </c>
      <c r="P127" s="31">
        <f>'декабрь 2014г. по 6-10'!P127+'декабрь 2014г. по 0,4'!P124</f>
        <v>0</v>
      </c>
      <c r="Q127" s="31">
        <f>'декабрь 2014г. по 6-10'!Q127+'декабрь 2014г. по 0,4'!Q124</f>
        <v>0</v>
      </c>
    </row>
    <row r="128" spans="1:17" ht="12.75" customHeight="1" x14ac:dyDescent="0.2">
      <c r="A128" s="18"/>
      <c r="B128" s="53"/>
      <c r="C128" s="50" t="s">
        <v>199</v>
      </c>
      <c r="D128" s="31">
        <f>'декабрь 2014г. по 6-10'!D128+'декабрь 2014г. по 0,4'!D125</f>
        <v>1</v>
      </c>
      <c r="E128" s="31">
        <f>'декабрь 2014г. по 6-10'!E128+'декабрь 2014г. по 0,4'!E125</f>
        <v>1.8</v>
      </c>
      <c r="F128" s="31">
        <f>'декабрь 2014г. по 6-10'!F128+'декабрь 2014г. по 0,4'!F125</f>
        <v>1</v>
      </c>
      <c r="G128" s="31">
        <f>'декабрь 2014г. по 6-10'!G128+'декабрь 2014г. по 0,4'!G125</f>
        <v>1.8</v>
      </c>
      <c r="H128" s="31">
        <f>'декабрь 2014г. по 6-10'!H128+'декабрь 2014г. по 0,4'!H125</f>
        <v>0</v>
      </c>
      <c r="I128" s="31">
        <f>'декабрь 2014г. по 6-10'!I128+'декабрь 2014г. по 0,4'!I125</f>
        <v>0</v>
      </c>
      <c r="J128" s="31">
        <f>'декабрь 2014г. по 6-10'!J128+'декабрь 2014г. по 0,4'!J125</f>
        <v>1</v>
      </c>
      <c r="K128" s="31">
        <f>'декабрь 2014г. по 6-10'!K128+'декабрь 2014г. по 0,4'!K125</f>
        <v>1.8</v>
      </c>
      <c r="L128" s="31">
        <f>'декабрь 2014г. по 6-10'!L128+'декабрь 2014г. по 0,4'!L125</f>
        <v>0</v>
      </c>
      <c r="M128" s="31">
        <f>'декабрь 2014г. по 6-10'!M128+'декабрь 2014г. по 0,4'!M125</f>
        <v>0</v>
      </c>
      <c r="N128" s="31">
        <f>'декабрь 2014г. по 6-10'!N128+'декабрь 2014г. по 0,4'!N125</f>
        <v>0</v>
      </c>
      <c r="O128" s="31">
        <f>'декабрь 2014г. по 6-10'!O128+'декабрь 2014г. по 0,4'!O125</f>
        <v>0</v>
      </c>
      <c r="P128" s="31">
        <f>'декабрь 2014г. по 6-10'!P128+'декабрь 2014г. по 0,4'!P125</f>
        <v>0</v>
      </c>
      <c r="Q128" s="31">
        <f>'декабрь 2014г. по 6-10'!Q128+'декабрь 2014г. по 0,4'!Q125</f>
        <v>0</v>
      </c>
    </row>
    <row r="129" spans="1:17" ht="12.75" customHeight="1" x14ac:dyDescent="0.2">
      <c r="A129" s="18"/>
      <c r="B129" s="53"/>
      <c r="C129" s="50" t="s">
        <v>200</v>
      </c>
      <c r="D129" s="31">
        <f>'декабрь 2014г. по 6-10'!D129+'декабрь 2014г. по 0,4'!D126</f>
        <v>11</v>
      </c>
      <c r="E129" s="31">
        <f>'декабрь 2014г. по 6-10'!E129+'декабрь 2014г. по 0,4'!E126</f>
        <v>250</v>
      </c>
      <c r="F129" s="31">
        <f>'декабрь 2014г. по 6-10'!F129+'декабрь 2014г. по 0,4'!F126</f>
        <v>8</v>
      </c>
      <c r="G129" s="31">
        <f>'декабрь 2014г. по 6-10'!G129+'декабрь 2014г. по 0,4'!G126</f>
        <v>250</v>
      </c>
      <c r="H129" s="31">
        <f>'декабрь 2014г. по 6-10'!H129+'декабрь 2014г. по 0,4'!H126</f>
        <v>0</v>
      </c>
      <c r="I129" s="31">
        <f>'декабрь 2014г. по 6-10'!I129+'декабрь 2014г. по 0,4'!I126</f>
        <v>0</v>
      </c>
      <c r="J129" s="31">
        <f>'декабрь 2014г. по 6-10'!J129+'декабрь 2014г. по 0,4'!J126</f>
        <v>9</v>
      </c>
      <c r="K129" s="31">
        <f>'декабрь 2014г. по 6-10'!K129+'декабрь 2014г. по 0,4'!K126</f>
        <v>65</v>
      </c>
      <c r="L129" s="31">
        <f>'декабрь 2014г. по 6-10'!L129+'декабрь 2014г. по 0,4'!L126</f>
        <v>0</v>
      </c>
      <c r="M129" s="31">
        <f>'декабрь 2014г. по 6-10'!M129+'декабрь 2014г. по 0,4'!M126</f>
        <v>0</v>
      </c>
      <c r="N129" s="31">
        <f>'декабрь 2014г. по 6-10'!N129+'декабрь 2014г. по 0,4'!N126</f>
        <v>0</v>
      </c>
      <c r="O129" s="31">
        <f>'декабрь 2014г. по 6-10'!O129+'декабрь 2014г. по 0,4'!O126</f>
        <v>0</v>
      </c>
      <c r="P129" s="31">
        <f>'декабрь 2014г. по 6-10'!P129+'декабрь 2014г. по 0,4'!P126</f>
        <v>0</v>
      </c>
      <c r="Q129" s="31">
        <f>'декабрь 2014г. по 6-10'!Q129+'декабрь 2014г. по 0,4'!Q126</f>
        <v>0</v>
      </c>
    </row>
    <row r="130" spans="1:17" ht="12.75" customHeight="1" x14ac:dyDescent="0.2">
      <c r="A130" s="18"/>
      <c r="B130" s="53"/>
      <c r="C130" s="50" t="s">
        <v>201</v>
      </c>
      <c r="D130" s="31">
        <f>'декабрь 2014г. по 6-10'!D130+'декабрь 2014г. по 0,4'!D127</f>
        <v>8</v>
      </c>
      <c r="E130" s="31">
        <f>'декабрь 2014г. по 6-10'!E130+'декабрь 2014г. по 0,4'!E127</f>
        <v>75.5</v>
      </c>
      <c r="F130" s="31">
        <f>'декабрь 2014г. по 6-10'!F130+'декабрь 2014г. по 0,4'!F127</f>
        <v>8</v>
      </c>
      <c r="G130" s="31">
        <f>'декабрь 2014г. по 6-10'!G130+'декабрь 2014г. по 0,4'!G127</f>
        <v>75.5</v>
      </c>
      <c r="H130" s="31">
        <f>'декабрь 2014г. по 6-10'!H130+'декабрь 2014г. по 0,4'!H127</f>
        <v>0</v>
      </c>
      <c r="I130" s="31">
        <f>'декабрь 2014г. по 6-10'!I130+'декабрь 2014г. по 0,4'!I127</f>
        <v>0</v>
      </c>
      <c r="J130" s="31">
        <f>'декабрь 2014г. по 6-10'!J130+'декабрь 2014г. по 0,4'!J127</f>
        <v>7</v>
      </c>
      <c r="K130" s="31">
        <f>'декабрь 2014г. по 6-10'!K130+'декабрь 2014г. по 0,4'!K127</f>
        <v>50.5</v>
      </c>
      <c r="L130" s="31">
        <f>'декабрь 2014г. по 6-10'!L130+'декабрь 2014г. по 0,4'!L127</f>
        <v>0</v>
      </c>
      <c r="M130" s="31">
        <f>'декабрь 2014г. по 6-10'!M130+'декабрь 2014г. по 0,4'!M127</f>
        <v>0</v>
      </c>
      <c r="N130" s="31">
        <f>'декабрь 2014г. по 6-10'!N130+'декабрь 2014г. по 0,4'!N127</f>
        <v>0</v>
      </c>
      <c r="O130" s="31">
        <f>'декабрь 2014г. по 6-10'!O130+'декабрь 2014г. по 0,4'!O127</f>
        <v>0</v>
      </c>
      <c r="P130" s="31">
        <f>'декабрь 2014г. по 6-10'!P130+'декабрь 2014г. по 0,4'!P127</f>
        <v>0</v>
      </c>
      <c r="Q130" s="31">
        <f>'декабрь 2014г. по 6-10'!Q130+'декабрь 2014г. по 0,4'!Q127</f>
        <v>0</v>
      </c>
    </row>
    <row r="131" spans="1:17" ht="12.75" customHeight="1" x14ac:dyDescent="0.2">
      <c r="A131" s="18"/>
      <c r="B131" s="53"/>
      <c r="C131" s="50" t="s">
        <v>202</v>
      </c>
      <c r="D131" s="31">
        <f>'декабрь 2014г. по 6-10'!D131+'декабрь 2014г. по 0,4'!D128</f>
        <v>4</v>
      </c>
      <c r="E131" s="31">
        <f>'декабрь 2014г. по 6-10'!E131+'декабрь 2014г. по 0,4'!E128</f>
        <v>19</v>
      </c>
      <c r="F131" s="31">
        <f>'декабрь 2014г. по 6-10'!F131+'декабрь 2014г. по 0,4'!F128</f>
        <v>2</v>
      </c>
      <c r="G131" s="31">
        <f>'декабрь 2014г. по 6-10'!G131+'декабрь 2014г. по 0,4'!G128</f>
        <v>19</v>
      </c>
      <c r="H131" s="31">
        <f>'декабрь 2014г. по 6-10'!H131+'декабрь 2014г. по 0,4'!H128</f>
        <v>0</v>
      </c>
      <c r="I131" s="31">
        <f>'декабрь 2014г. по 6-10'!I131+'декабрь 2014г. по 0,4'!I128</f>
        <v>0</v>
      </c>
      <c r="J131" s="31">
        <f>'декабрь 2014г. по 6-10'!J131+'декабрь 2014г. по 0,4'!J128</f>
        <v>4</v>
      </c>
      <c r="K131" s="31">
        <f>'декабрь 2014г. по 6-10'!K131+'декабрь 2014г. по 0,4'!K128</f>
        <v>19</v>
      </c>
      <c r="L131" s="31">
        <f>'декабрь 2014г. по 6-10'!L131+'декабрь 2014г. по 0,4'!L128</f>
        <v>0</v>
      </c>
      <c r="M131" s="31">
        <f>'декабрь 2014г. по 6-10'!M131+'декабрь 2014г. по 0,4'!M128</f>
        <v>0</v>
      </c>
      <c r="N131" s="31">
        <f>'декабрь 2014г. по 6-10'!N131+'декабрь 2014г. по 0,4'!N128</f>
        <v>0</v>
      </c>
      <c r="O131" s="31">
        <f>'декабрь 2014г. по 6-10'!O131+'декабрь 2014г. по 0,4'!O128</f>
        <v>0</v>
      </c>
      <c r="P131" s="31">
        <f>'декабрь 2014г. по 6-10'!P131+'декабрь 2014г. по 0,4'!P128</f>
        <v>0</v>
      </c>
      <c r="Q131" s="31">
        <f>'декабрь 2014г. по 6-10'!Q131+'декабрь 2014г. по 0,4'!Q128</f>
        <v>0</v>
      </c>
    </row>
    <row r="132" spans="1:17" ht="12.75" customHeight="1" x14ac:dyDescent="0.2">
      <c r="A132" s="18"/>
      <c r="B132" s="53"/>
      <c r="C132" s="50" t="s">
        <v>203</v>
      </c>
      <c r="D132" s="31">
        <f>'декабрь 2014г. по 6-10'!D132+'декабрь 2014г. по 0,4'!D129</f>
        <v>1</v>
      </c>
      <c r="E132" s="31">
        <f>'декабрь 2014г. по 6-10'!E132+'декабрь 2014г. по 0,4'!E129</f>
        <v>3</v>
      </c>
      <c r="F132" s="31">
        <f>'декабрь 2014г. по 6-10'!F132+'декабрь 2014г. по 0,4'!F129</f>
        <v>1</v>
      </c>
      <c r="G132" s="31">
        <f>'декабрь 2014г. по 6-10'!G132+'декабрь 2014г. по 0,4'!G129</f>
        <v>3</v>
      </c>
      <c r="H132" s="31">
        <f>'декабрь 2014г. по 6-10'!H132+'декабрь 2014г. по 0,4'!H129</f>
        <v>0</v>
      </c>
      <c r="I132" s="31">
        <f>'декабрь 2014г. по 6-10'!I132+'декабрь 2014г. по 0,4'!I129</f>
        <v>0</v>
      </c>
      <c r="J132" s="31">
        <f>'декабрь 2014г. по 6-10'!J132+'декабрь 2014г. по 0,4'!J129</f>
        <v>1</v>
      </c>
      <c r="K132" s="31">
        <f>'декабрь 2014г. по 6-10'!K132+'декабрь 2014г. по 0,4'!K129</f>
        <v>3</v>
      </c>
      <c r="L132" s="31">
        <f>'декабрь 2014г. по 6-10'!L132+'декабрь 2014г. по 0,4'!L129</f>
        <v>0</v>
      </c>
      <c r="M132" s="31">
        <f>'декабрь 2014г. по 6-10'!M132+'декабрь 2014г. по 0,4'!M129</f>
        <v>0</v>
      </c>
      <c r="N132" s="31">
        <f>'декабрь 2014г. по 6-10'!N132+'декабрь 2014г. по 0,4'!N129</f>
        <v>0</v>
      </c>
      <c r="O132" s="31">
        <f>'декабрь 2014г. по 6-10'!O132+'декабрь 2014г. по 0,4'!O129</f>
        <v>0</v>
      </c>
      <c r="P132" s="31">
        <f>'декабрь 2014г. по 6-10'!P132+'декабрь 2014г. по 0,4'!P129</f>
        <v>0</v>
      </c>
      <c r="Q132" s="31">
        <f>'декабрь 2014г. по 6-10'!Q132+'декабрь 2014г. по 0,4'!Q129</f>
        <v>0</v>
      </c>
    </row>
    <row r="133" spans="1:17" ht="12.75" customHeight="1" x14ac:dyDescent="0.2">
      <c r="A133" s="18"/>
      <c r="B133" s="53"/>
      <c r="C133" s="50" t="s">
        <v>204</v>
      </c>
      <c r="D133" s="31">
        <f>'декабрь 2014г. по 6-10'!D133+'декабрь 2014г. по 0,4'!D130</f>
        <v>10</v>
      </c>
      <c r="E133" s="31">
        <f>'декабрь 2014г. по 6-10'!E133+'декабрь 2014г. по 0,4'!E130</f>
        <v>102</v>
      </c>
      <c r="F133" s="31">
        <f>'декабрь 2014г. по 6-10'!F133+'декабрь 2014г. по 0,4'!F130</f>
        <v>1</v>
      </c>
      <c r="G133" s="31">
        <f>'декабрь 2014г. по 6-10'!G133+'декабрь 2014г. по 0,4'!G130</f>
        <v>4.4000000000000004</v>
      </c>
      <c r="H133" s="31">
        <f>'декабрь 2014г. по 6-10'!H133+'декабрь 2014г. по 0,4'!H130</f>
        <v>0</v>
      </c>
      <c r="I133" s="31">
        <f>'декабрь 2014г. по 6-10'!I133+'декабрь 2014г. по 0,4'!I130</f>
        <v>0</v>
      </c>
      <c r="J133" s="31">
        <f>'декабрь 2014г. по 6-10'!J133+'декабрь 2014г. по 0,4'!J130</f>
        <v>10</v>
      </c>
      <c r="K133" s="31">
        <f>'декабрь 2014г. по 6-10'!K133+'декабрь 2014г. по 0,4'!K130</f>
        <v>102</v>
      </c>
      <c r="L133" s="31">
        <f>'декабрь 2014г. по 6-10'!L133+'декабрь 2014г. по 0,4'!L130</f>
        <v>0</v>
      </c>
      <c r="M133" s="31">
        <f>'декабрь 2014г. по 6-10'!M133+'декабрь 2014г. по 0,4'!M130</f>
        <v>0</v>
      </c>
      <c r="N133" s="31">
        <f>'декабрь 2014г. по 6-10'!N133+'декабрь 2014г. по 0,4'!N130</f>
        <v>0</v>
      </c>
      <c r="O133" s="31">
        <f>'декабрь 2014г. по 6-10'!O133+'декабрь 2014г. по 0,4'!O130</f>
        <v>0</v>
      </c>
      <c r="P133" s="31">
        <f>'декабрь 2014г. по 6-10'!P133+'декабрь 2014г. по 0,4'!P130</f>
        <v>0</v>
      </c>
      <c r="Q133" s="31">
        <f>'декабрь 2014г. по 6-10'!Q133+'декабрь 2014г. по 0,4'!Q130</f>
        <v>0</v>
      </c>
    </row>
    <row r="134" spans="1:17" ht="12.75" customHeight="1" x14ac:dyDescent="0.2">
      <c r="A134" s="18"/>
      <c r="B134" s="53"/>
      <c r="C134" s="50" t="s">
        <v>205</v>
      </c>
      <c r="D134" s="31">
        <f>'декабрь 2014г. по 6-10'!D134+'декабрь 2014г. по 0,4'!D131</f>
        <v>7</v>
      </c>
      <c r="E134" s="31">
        <f>'декабрь 2014г. по 6-10'!E134+'декабрь 2014г. по 0,4'!E131</f>
        <v>63</v>
      </c>
      <c r="F134" s="31">
        <f>'декабрь 2014г. по 6-10'!F134+'декабрь 2014г. по 0,4'!F131</f>
        <v>0</v>
      </c>
      <c r="G134" s="31">
        <f>'декабрь 2014г. по 6-10'!G134+'декабрь 2014г. по 0,4'!G131</f>
        <v>0</v>
      </c>
      <c r="H134" s="31">
        <f>'декабрь 2014г. по 6-10'!H134+'декабрь 2014г. по 0,4'!H131</f>
        <v>0</v>
      </c>
      <c r="I134" s="31">
        <f>'декабрь 2014г. по 6-10'!I134+'декабрь 2014г. по 0,4'!I131</f>
        <v>0</v>
      </c>
      <c r="J134" s="31">
        <f>'декабрь 2014г. по 6-10'!J134+'декабрь 2014г. по 0,4'!J131</f>
        <v>7</v>
      </c>
      <c r="K134" s="31">
        <f>'декабрь 2014г. по 6-10'!K134+'декабрь 2014г. по 0,4'!K131</f>
        <v>63</v>
      </c>
      <c r="L134" s="31">
        <f>'декабрь 2014г. по 6-10'!L134+'декабрь 2014г. по 0,4'!L131</f>
        <v>0</v>
      </c>
      <c r="M134" s="31">
        <f>'декабрь 2014г. по 6-10'!M134+'декабрь 2014г. по 0,4'!M131</f>
        <v>0</v>
      </c>
      <c r="N134" s="31">
        <f>'декабрь 2014г. по 6-10'!N134+'декабрь 2014г. по 0,4'!N131</f>
        <v>0</v>
      </c>
      <c r="O134" s="31">
        <f>'декабрь 2014г. по 6-10'!O134+'декабрь 2014г. по 0,4'!O131</f>
        <v>0</v>
      </c>
      <c r="P134" s="31">
        <f>'декабрь 2014г. по 6-10'!P134+'декабрь 2014г. по 0,4'!P131</f>
        <v>0</v>
      </c>
      <c r="Q134" s="31">
        <f>'декабрь 2014г. по 6-10'!Q134+'декабрь 2014г. по 0,4'!Q131</f>
        <v>0</v>
      </c>
    </row>
    <row r="135" spans="1:17" ht="12.75" customHeight="1" x14ac:dyDescent="0.2">
      <c r="A135" s="18"/>
      <c r="B135" s="53"/>
      <c r="C135" s="50" t="s">
        <v>206</v>
      </c>
      <c r="D135" s="31">
        <f>'декабрь 2014г. по 6-10'!D135+'декабрь 2014г. по 0,4'!D132</f>
        <v>3</v>
      </c>
      <c r="E135" s="31">
        <f>'декабрь 2014г. по 6-10'!E135+'декабрь 2014г. по 0,4'!E132</f>
        <v>113</v>
      </c>
      <c r="F135" s="31">
        <f>'декабрь 2014г. по 6-10'!F135+'декабрь 2014г. по 0,4'!F132</f>
        <v>3</v>
      </c>
      <c r="G135" s="31">
        <f>'декабрь 2014г. по 6-10'!G135+'декабрь 2014г. по 0,4'!G132</f>
        <v>113</v>
      </c>
      <c r="H135" s="31">
        <f>'декабрь 2014г. по 6-10'!H135+'декабрь 2014г. по 0,4'!H132</f>
        <v>0</v>
      </c>
      <c r="I135" s="31">
        <f>'декабрь 2014г. по 6-10'!I135+'декабрь 2014г. по 0,4'!I132</f>
        <v>0</v>
      </c>
      <c r="J135" s="31">
        <f>'декабрь 2014г. по 6-10'!J135+'декабрь 2014г. по 0,4'!J132</f>
        <v>2</v>
      </c>
      <c r="K135" s="31">
        <f>'декабрь 2014г. по 6-10'!K135+'декабрь 2014г. по 0,4'!K132</f>
        <v>13</v>
      </c>
      <c r="L135" s="31">
        <f>'декабрь 2014г. по 6-10'!L135+'декабрь 2014г. по 0,4'!L132</f>
        <v>0</v>
      </c>
      <c r="M135" s="31">
        <f>'декабрь 2014г. по 6-10'!M135+'декабрь 2014г. по 0,4'!M132</f>
        <v>0</v>
      </c>
      <c r="N135" s="31">
        <f>'декабрь 2014г. по 6-10'!N135+'декабрь 2014г. по 0,4'!N132</f>
        <v>0</v>
      </c>
      <c r="O135" s="31">
        <f>'декабрь 2014г. по 6-10'!O135+'декабрь 2014г. по 0,4'!O132</f>
        <v>0</v>
      </c>
      <c r="P135" s="31">
        <f>'декабрь 2014г. по 6-10'!P135+'декабрь 2014г. по 0,4'!P132</f>
        <v>0</v>
      </c>
      <c r="Q135" s="31">
        <f>'декабрь 2014г. по 6-10'!Q135+'декабрь 2014г. по 0,4'!Q132</f>
        <v>0</v>
      </c>
    </row>
    <row r="136" spans="1:17" ht="12.75" customHeight="1" x14ac:dyDescent="0.2">
      <c r="A136" s="18"/>
      <c r="B136" s="53"/>
      <c r="C136" s="50" t="s">
        <v>207</v>
      </c>
      <c r="D136" s="31">
        <f>'декабрь 2014г. по 6-10'!D136+'декабрь 2014г. по 0,4'!D133</f>
        <v>12</v>
      </c>
      <c r="E136" s="31">
        <f>'декабрь 2014г. по 6-10'!E136+'декабрь 2014г. по 0,4'!E133</f>
        <v>385.25</v>
      </c>
      <c r="F136" s="31">
        <f>'декабрь 2014г. по 6-10'!F136+'декабрь 2014г. по 0,4'!F133</f>
        <v>7</v>
      </c>
      <c r="G136" s="31">
        <f>'декабрь 2014г. по 6-10'!G136+'декабрь 2014г. по 0,4'!G133</f>
        <v>50</v>
      </c>
      <c r="H136" s="31">
        <f>'декабрь 2014г. по 6-10'!H136+'декабрь 2014г. по 0,4'!H133</f>
        <v>0</v>
      </c>
      <c r="I136" s="31">
        <f>'декабрь 2014г. по 6-10'!I136+'декабрь 2014г. по 0,4'!I133</f>
        <v>0</v>
      </c>
      <c r="J136" s="31">
        <f>'декабрь 2014г. по 6-10'!J136+'декабрь 2014г. по 0,4'!J133</f>
        <v>7</v>
      </c>
      <c r="K136" s="31">
        <f>'декабрь 2014г. по 6-10'!K136+'декабрь 2014г. по 0,4'!K133</f>
        <v>50</v>
      </c>
      <c r="L136" s="31">
        <f>'декабрь 2014г. по 6-10'!L136+'декабрь 2014г. по 0,4'!L133</f>
        <v>0</v>
      </c>
      <c r="M136" s="31">
        <f>'декабрь 2014г. по 6-10'!M136+'декабрь 2014г. по 0,4'!M133</f>
        <v>0</v>
      </c>
      <c r="N136" s="31">
        <f>'декабрь 2014г. по 6-10'!N136+'декабрь 2014г. по 0,4'!N133</f>
        <v>0</v>
      </c>
      <c r="O136" s="31">
        <f>'декабрь 2014г. по 6-10'!O136+'декабрь 2014г. по 0,4'!O133</f>
        <v>0</v>
      </c>
      <c r="P136" s="31">
        <f>'декабрь 2014г. по 6-10'!P136+'декабрь 2014г. по 0,4'!P133</f>
        <v>0</v>
      </c>
      <c r="Q136" s="31">
        <f>'декабрь 2014г. по 6-10'!Q136+'декабрь 2014г. по 0,4'!Q133</f>
        <v>0</v>
      </c>
    </row>
    <row r="137" spans="1:17" ht="12.75" customHeight="1" x14ac:dyDescent="0.2">
      <c r="A137" s="18"/>
      <c r="B137" s="53"/>
      <c r="C137" s="50" t="s">
        <v>186</v>
      </c>
      <c r="D137" s="31">
        <f>'декабрь 2014г. по 6-10'!D137+'декабрь 2014г. по 0,4'!D134</f>
        <v>0</v>
      </c>
      <c r="E137" s="31">
        <f>'декабрь 2014г. по 6-10'!E137+'декабрь 2014г. по 0,4'!E134</f>
        <v>0</v>
      </c>
      <c r="F137" s="31">
        <f>'декабрь 2014г. по 6-10'!F137+'декабрь 2014г. по 0,4'!F134</f>
        <v>0</v>
      </c>
      <c r="G137" s="31">
        <f>'декабрь 2014г. по 6-10'!G137+'декабрь 2014г. по 0,4'!G134</f>
        <v>0</v>
      </c>
      <c r="H137" s="31">
        <f>'декабрь 2014г. по 6-10'!H137+'декабрь 2014г. по 0,4'!H134</f>
        <v>0</v>
      </c>
      <c r="I137" s="31">
        <f>'декабрь 2014г. по 6-10'!I137+'декабрь 2014г. по 0,4'!I134</f>
        <v>0</v>
      </c>
      <c r="J137" s="31">
        <f>'декабрь 2014г. по 6-10'!J137+'декабрь 2014г. по 0,4'!J134</f>
        <v>0</v>
      </c>
      <c r="K137" s="31">
        <f>'декабрь 2014г. по 6-10'!K137+'декабрь 2014г. по 0,4'!K134</f>
        <v>0</v>
      </c>
      <c r="L137" s="31">
        <f>'декабрь 2014г. по 6-10'!L137+'декабрь 2014г. по 0,4'!L134</f>
        <v>0</v>
      </c>
      <c r="M137" s="31">
        <f>'декабрь 2014г. по 6-10'!M137+'декабрь 2014г. по 0,4'!M134</f>
        <v>0</v>
      </c>
      <c r="N137" s="31">
        <f>'декабрь 2014г. по 6-10'!N137+'декабрь 2014г. по 0,4'!N134</f>
        <v>0</v>
      </c>
      <c r="O137" s="31">
        <f>'декабрь 2014г. по 6-10'!O137+'декабрь 2014г. по 0,4'!O134</f>
        <v>0</v>
      </c>
      <c r="P137" s="31">
        <f>'декабрь 2014г. по 6-10'!P137+'декабрь 2014г. по 0,4'!P134</f>
        <v>0</v>
      </c>
      <c r="Q137" s="31">
        <f>'декабрь 2014г. по 6-10'!Q137+'декабрь 2014г. по 0,4'!Q134</f>
        <v>0</v>
      </c>
    </row>
    <row r="138" spans="1:17" ht="12.75" customHeight="1" x14ac:dyDescent="0.2">
      <c r="A138" s="18"/>
      <c r="B138" s="53"/>
      <c r="C138" s="50" t="s">
        <v>208</v>
      </c>
      <c r="D138" s="31">
        <f>'декабрь 2014г. по 6-10'!D138+'декабрь 2014г. по 0,4'!D135</f>
        <v>4</v>
      </c>
      <c r="E138" s="31">
        <f>'декабрь 2014г. по 6-10'!E138+'декабрь 2014г. по 0,4'!E135</f>
        <v>61.25</v>
      </c>
      <c r="F138" s="31">
        <f>'декабрь 2014г. по 6-10'!F138+'декабрь 2014г. по 0,4'!F135</f>
        <v>0</v>
      </c>
      <c r="G138" s="31">
        <f>'декабрь 2014г. по 6-10'!G138+'декабрь 2014г. по 0,4'!G135</f>
        <v>0</v>
      </c>
      <c r="H138" s="31">
        <f>'декабрь 2014г. по 6-10'!H138+'декабрь 2014г. по 0,4'!H135</f>
        <v>0</v>
      </c>
      <c r="I138" s="31">
        <f>'декабрь 2014г. по 6-10'!I138+'декабрь 2014г. по 0,4'!I135</f>
        <v>0</v>
      </c>
      <c r="J138" s="31">
        <f>'декабрь 2014г. по 6-10'!J138+'декабрь 2014г. по 0,4'!J135</f>
        <v>4</v>
      </c>
      <c r="K138" s="31">
        <f>'декабрь 2014г. по 6-10'!K138+'декабрь 2014г. по 0,4'!K135</f>
        <v>61.25</v>
      </c>
      <c r="L138" s="31">
        <f>'декабрь 2014г. по 6-10'!L138+'декабрь 2014г. по 0,4'!L135</f>
        <v>0</v>
      </c>
      <c r="M138" s="31">
        <f>'декабрь 2014г. по 6-10'!M138+'декабрь 2014г. по 0,4'!M135</f>
        <v>0</v>
      </c>
      <c r="N138" s="31">
        <f>'декабрь 2014г. по 6-10'!N138+'декабрь 2014г. по 0,4'!N135</f>
        <v>0</v>
      </c>
      <c r="O138" s="31">
        <f>'декабрь 2014г. по 6-10'!O138+'декабрь 2014г. по 0,4'!O135</f>
        <v>0</v>
      </c>
      <c r="P138" s="31">
        <f>'декабрь 2014г. по 6-10'!P138+'декабрь 2014г. по 0,4'!P135</f>
        <v>0</v>
      </c>
      <c r="Q138" s="31">
        <f>'декабрь 2014г. по 6-10'!Q138+'декабрь 2014г. по 0,4'!Q135</f>
        <v>0</v>
      </c>
    </row>
    <row r="139" spans="1:17" ht="12.75" customHeight="1" x14ac:dyDescent="0.2">
      <c r="A139" s="18"/>
      <c r="B139" s="53"/>
      <c r="C139" s="50" t="s">
        <v>209</v>
      </c>
      <c r="D139" s="31">
        <f>'декабрь 2014г. по 6-10'!D139+'декабрь 2014г. по 0,4'!D136</f>
        <v>5</v>
      </c>
      <c r="E139" s="31">
        <f>'декабрь 2014г. по 6-10'!E139+'декабрь 2014г. по 0,4'!E136</f>
        <v>130</v>
      </c>
      <c r="F139" s="31">
        <f>'декабрь 2014г. по 6-10'!F139+'декабрь 2014г. по 0,4'!F136</f>
        <v>1</v>
      </c>
      <c r="G139" s="31">
        <f>'декабрь 2014г. по 6-10'!G139+'декабрь 2014г. по 0,4'!G136</f>
        <v>55</v>
      </c>
      <c r="H139" s="31">
        <f>'декабрь 2014г. по 6-10'!H139+'декабрь 2014г. по 0,4'!H136</f>
        <v>0</v>
      </c>
      <c r="I139" s="31">
        <f>'декабрь 2014г. по 6-10'!I139+'декабрь 2014г. по 0,4'!I136</f>
        <v>0</v>
      </c>
      <c r="J139" s="31">
        <f>'декабрь 2014г. по 6-10'!J139+'декабрь 2014г. по 0,4'!J136</f>
        <v>3</v>
      </c>
      <c r="K139" s="31">
        <f>'декабрь 2014г. по 6-10'!K139+'декабрь 2014г. по 0,4'!K136</f>
        <v>25</v>
      </c>
      <c r="L139" s="31">
        <f>'декабрь 2014г. по 6-10'!L139+'декабрь 2014г. по 0,4'!L136</f>
        <v>0</v>
      </c>
      <c r="M139" s="31">
        <f>'декабрь 2014г. по 6-10'!M139+'декабрь 2014г. по 0,4'!M136</f>
        <v>0</v>
      </c>
      <c r="N139" s="31">
        <f>'декабрь 2014г. по 6-10'!N139+'декабрь 2014г. по 0,4'!N136</f>
        <v>0</v>
      </c>
      <c r="O139" s="31">
        <f>'декабрь 2014г. по 6-10'!O139+'декабрь 2014г. по 0,4'!O136</f>
        <v>0</v>
      </c>
      <c r="P139" s="31">
        <f>'декабрь 2014г. по 6-10'!P139+'декабрь 2014г. по 0,4'!P136</f>
        <v>0</v>
      </c>
      <c r="Q139" s="31">
        <f>'декабрь 2014г. по 6-10'!Q139+'декабрь 2014г. по 0,4'!Q136</f>
        <v>0</v>
      </c>
    </row>
    <row r="140" spans="1:17" ht="12.75" customHeight="1" x14ac:dyDescent="0.2">
      <c r="A140" s="18"/>
      <c r="B140" s="53"/>
      <c r="C140" s="50" t="s">
        <v>210</v>
      </c>
      <c r="D140" s="31">
        <f>'декабрь 2014г. по 6-10'!D140+'декабрь 2014г. по 0,4'!D137</f>
        <v>2</v>
      </c>
      <c r="E140" s="31">
        <f>'декабрь 2014г. по 6-10'!E140+'декабрь 2014г. по 0,4'!E137</f>
        <v>20</v>
      </c>
      <c r="F140" s="31">
        <f>'декабрь 2014г. по 6-10'!F140+'декабрь 2014г. по 0,4'!F137</f>
        <v>0</v>
      </c>
      <c r="G140" s="31">
        <f>'декабрь 2014г. по 6-10'!G140+'декабрь 2014г. по 0,4'!G137</f>
        <v>0</v>
      </c>
      <c r="H140" s="31">
        <f>'декабрь 2014г. по 6-10'!H140+'декабрь 2014г. по 0,4'!H137</f>
        <v>0</v>
      </c>
      <c r="I140" s="31">
        <f>'декабрь 2014г. по 6-10'!I140+'декабрь 2014г. по 0,4'!I137</f>
        <v>0</v>
      </c>
      <c r="J140" s="31">
        <f>'декабрь 2014г. по 6-10'!J140+'декабрь 2014г. по 0,4'!J137</f>
        <v>2</v>
      </c>
      <c r="K140" s="31">
        <f>'декабрь 2014г. по 6-10'!K140+'декабрь 2014г. по 0,4'!K137</f>
        <v>20</v>
      </c>
      <c r="L140" s="31">
        <f>'декабрь 2014г. по 6-10'!L140+'декабрь 2014г. по 0,4'!L137</f>
        <v>0</v>
      </c>
      <c r="M140" s="31">
        <f>'декабрь 2014г. по 6-10'!M140+'декабрь 2014г. по 0,4'!M137</f>
        <v>0</v>
      </c>
      <c r="N140" s="31">
        <f>'декабрь 2014г. по 6-10'!N140+'декабрь 2014г. по 0,4'!N137</f>
        <v>0</v>
      </c>
      <c r="O140" s="31">
        <f>'декабрь 2014г. по 6-10'!O140+'декабрь 2014г. по 0,4'!O137</f>
        <v>0</v>
      </c>
      <c r="P140" s="31">
        <f>'декабрь 2014г. по 6-10'!P140+'декабрь 2014г. по 0,4'!P137</f>
        <v>0</v>
      </c>
      <c r="Q140" s="31">
        <f>'декабрь 2014г. по 6-10'!Q140+'декабрь 2014г. по 0,4'!Q137</f>
        <v>0</v>
      </c>
    </row>
    <row r="141" spans="1:17" ht="12.75" customHeight="1" x14ac:dyDescent="0.2">
      <c r="A141" s="18"/>
      <c r="B141" s="53"/>
      <c r="C141" s="50" t="s">
        <v>211</v>
      </c>
      <c r="D141" s="31">
        <f>'декабрь 2014г. по 6-10'!D141+'декабрь 2014г. по 0,4'!D138</f>
        <v>1</v>
      </c>
      <c r="E141" s="31">
        <f>'декабрь 2014г. по 6-10'!E141+'декабрь 2014г. по 0,4'!E138</f>
        <v>10</v>
      </c>
      <c r="F141" s="31">
        <f>'декабрь 2014г. по 6-10'!F141+'декабрь 2014г. по 0,4'!F138</f>
        <v>1</v>
      </c>
      <c r="G141" s="31">
        <f>'декабрь 2014г. по 6-10'!G141+'декабрь 2014г. по 0,4'!G138</f>
        <v>10</v>
      </c>
      <c r="H141" s="31">
        <f>'декабрь 2014г. по 6-10'!H141+'декабрь 2014г. по 0,4'!H138</f>
        <v>0</v>
      </c>
      <c r="I141" s="31">
        <f>'декабрь 2014г. по 6-10'!I141+'декабрь 2014г. по 0,4'!I138</f>
        <v>0</v>
      </c>
      <c r="J141" s="31">
        <f>'декабрь 2014г. по 6-10'!J141+'декабрь 2014г. по 0,4'!J138</f>
        <v>1</v>
      </c>
      <c r="K141" s="31">
        <f>'декабрь 2014г. по 6-10'!K141+'декабрь 2014г. по 0,4'!K138</f>
        <v>10</v>
      </c>
      <c r="L141" s="31">
        <f>'декабрь 2014г. по 6-10'!L141+'декабрь 2014г. по 0,4'!L138</f>
        <v>0</v>
      </c>
      <c r="M141" s="31">
        <f>'декабрь 2014г. по 6-10'!M141+'декабрь 2014г. по 0,4'!M138</f>
        <v>0</v>
      </c>
      <c r="N141" s="31">
        <f>'декабрь 2014г. по 6-10'!N141+'декабрь 2014г. по 0,4'!N138</f>
        <v>0</v>
      </c>
      <c r="O141" s="31">
        <f>'декабрь 2014г. по 6-10'!O141+'декабрь 2014г. по 0,4'!O138</f>
        <v>0</v>
      </c>
      <c r="P141" s="31">
        <f>'декабрь 2014г. по 6-10'!P141+'декабрь 2014г. по 0,4'!P138</f>
        <v>0</v>
      </c>
      <c r="Q141" s="31">
        <f>'декабрь 2014г. по 6-10'!Q141+'декабрь 2014г. по 0,4'!Q138</f>
        <v>0</v>
      </c>
    </row>
    <row r="142" spans="1:17" ht="12.75" customHeight="1" x14ac:dyDescent="0.2">
      <c r="A142" s="18"/>
      <c r="B142" s="53"/>
      <c r="C142" s="50" t="s">
        <v>212</v>
      </c>
      <c r="D142" s="31">
        <f>'декабрь 2014г. по 6-10'!D142+'декабрь 2014г. по 0,4'!D139</f>
        <v>12</v>
      </c>
      <c r="E142" s="31">
        <f>'декабрь 2014г. по 6-10'!E142+'декабрь 2014г. по 0,4'!E139</f>
        <v>120.25</v>
      </c>
      <c r="F142" s="31">
        <f>'декабрь 2014г. по 6-10'!F142+'декабрь 2014г. по 0,4'!F139</f>
        <v>11</v>
      </c>
      <c r="G142" s="31">
        <f>'декабрь 2014г. по 6-10'!G142+'декабрь 2014г. по 0,4'!G139</f>
        <v>91</v>
      </c>
      <c r="H142" s="31">
        <f>'декабрь 2014г. по 6-10'!H142+'декабрь 2014г. по 0,4'!H139</f>
        <v>0</v>
      </c>
      <c r="I142" s="31">
        <f>'декабрь 2014г. по 6-10'!I142+'декабрь 2014г. по 0,4'!I139</f>
        <v>0</v>
      </c>
      <c r="J142" s="31">
        <f>'декабрь 2014г. по 6-10'!J142+'декабрь 2014г. по 0,4'!J139</f>
        <v>12</v>
      </c>
      <c r="K142" s="31">
        <f>'декабрь 2014г. по 6-10'!K142+'декабрь 2014г. по 0,4'!K139</f>
        <v>120.25</v>
      </c>
      <c r="L142" s="31">
        <f>'декабрь 2014г. по 6-10'!L142+'декабрь 2014г. по 0,4'!L139</f>
        <v>0</v>
      </c>
      <c r="M142" s="31">
        <f>'декабрь 2014г. по 6-10'!M142+'декабрь 2014г. по 0,4'!M139</f>
        <v>0</v>
      </c>
      <c r="N142" s="31">
        <f>'декабрь 2014г. по 6-10'!N142+'декабрь 2014г. по 0,4'!N139</f>
        <v>0</v>
      </c>
      <c r="O142" s="31">
        <f>'декабрь 2014г. по 6-10'!O142+'декабрь 2014г. по 0,4'!O139</f>
        <v>0</v>
      </c>
      <c r="P142" s="31">
        <f>'декабрь 2014г. по 6-10'!P142+'декабрь 2014г. по 0,4'!P139</f>
        <v>0</v>
      </c>
      <c r="Q142" s="31">
        <f>'декабрь 2014г. по 6-10'!Q142+'декабрь 2014г. по 0,4'!Q139</f>
        <v>0</v>
      </c>
    </row>
    <row r="143" spans="1:17" ht="12.75" customHeight="1" x14ac:dyDescent="0.2">
      <c r="A143" s="18"/>
      <c r="B143" s="53"/>
      <c r="C143" s="50" t="s">
        <v>213</v>
      </c>
      <c r="D143" s="31">
        <f>'декабрь 2014г. по 6-10'!D143+'декабрь 2014г. по 0,4'!D140</f>
        <v>4</v>
      </c>
      <c r="E143" s="31">
        <f>'декабрь 2014г. по 6-10'!E143+'декабрь 2014г. по 0,4'!E140</f>
        <v>110</v>
      </c>
      <c r="F143" s="31">
        <f>'декабрь 2014г. по 6-10'!F143+'декабрь 2014г. по 0,4'!F140</f>
        <v>3</v>
      </c>
      <c r="G143" s="31">
        <f>'декабрь 2014г. по 6-10'!G143+'декабрь 2014г. по 0,4'!G140</f>
        <v>30</v>
      </c>
      <c r="H143" s="31">
        <f>'декабрь 2014г. по 6-10'!H143+'декабрь 2014г. по 0,4'!H140</f>
        <v>0</v>
      </c>
      <c r="I143" s="31">
        <f>'декабрь 2014г. по 6-10'!I143+'декабрь 2014г. по 0,4'!I140</f>
        <v>0</v>
      </c>
      <c r="J143" s="31">
        <f>'декабрь 2014г. по 6-10'!J143+'декабрь 2014г. по 0,4'!J140</f>
        <v>4</v>
      </c>
      <c r="K143" s="31">
        <f>'декабрь 2014г. по 6-10'!K143+'декабрь 2014г. по 0,4'!K140</f>
        <v>110</v>
      </c>
      <c r="L143" s="31">
        <f>'декабрь 2014г. по 6-10'!L143+'декабрь 2014г. по 0,4'!L140</f>
        <v>0</v>
      </c>
      <c r="M143" s="31">
        <f>'декабрь 2014г. по 6-10'!M143+'декабрь 2014г. по 0,4'!M140</f>
        <v>0</v>
      </c>
      <c r="N143" s="31">
        <f>'декабрь 2014г. по 6-10'!N143+'декабрь 2014г. по 0,4'!N140</f>
        <v>0</v>
      </c>
      <c r="O143" s="31">
        <f>'декабрь 2014г. по 6-10'!O143+'декабрь 2014г. по 0,4'!O140</f>
        <v>0</v>
      </c>
      <c r="P143" s="31">
        <f>'декабрь 2014г. по 6-10'!P143+'декабрь 2014г. по 0,4'!P140</f>
        <v>0</v>
      </c>
      <c r="Q143" s="31">
        <f>'декабрь 2014г. по 6-10'!Q143+'декабрь 2014г. по 0,4'!Q140</f>
        <v>0</v>
      </c>
    </row>
    <row r="144" spans="1:17" ht="12.75" customHeight="1" x14ac:dyDescent="0.2">
      <c r="A144" s="18"/>
      <c r="B144" s="53"/>
      <c r="C144" s="50" t="s">
        <v>214</v>
      </c>
      <c r="D144" s="31">
        <f>'декабрь 2014г. по 6-10'!D144+'декабрь 2014г. по 0,4'!D141</f>
        <v>0</v>
      </c>
      <c r="E144" s="31">
        <f>'декабрь 2014г. по 6-10'!E144+'декабрь 2014г. по 0,4'!E141</f>
        <v>0</v>
      </c>
      <c r="F144" s="31">
        <f>'декабрь 2014г. по 6-10'!F144+'декабрь 2014г. по 0,4'!F141</f>
        <v>0</v>
      </c>
      <c r="G144" s="31">
        <f>'декабрь 2014г. по 6-10'!G144+'декабрь 2014г. по 0,4'!G141</f>
        <v>0</v>
      </c>
      <c r="H144" s="31">
        <f>'декабрь 2014г. по 6-10'!H144+'декабрь 2014г. по 0,4'!H141</f>
        <v>0</v>
      </c>
      <c r="I144" s="31">
        <f>'декабрь 2014г. по 6-10'!I144+'декабрь 2014г. по 0,4'!I141</f>
        <v>0</v>
      </c>
      <c r="J144" s="31">
        <f>'декабрь 2014г. по 6-10'!J144+'декабрь 2014г. по 0,4'!J141</f>
        <v>0</v>
      </c>
      <c r="K144" s="31">
        <f>'декабрь 2014г. по 6-10'!K144+'декабрь 2014г. по 0,4'!K141</f>
        <v>0</v>
      </c>
      <c r="L144" s="31">
        <f>'декабрь 2014г. по 6-10'!L144+'декабрь 2014г. по 0,4'!L141</f>
        <v>0</v>
      </c>
      <c r="M144" s="31">
        <f>'декабрь 2014г. по 6-10'!M144+'декабрь 2014г. по 0,4'!M141</f>
        <v>0</v>
      </c>
      <c r="N144" s="31">
        <f>'декабрь 2014г. по 6-10'!N144+'декабрь 2014г. по 0,4'!N141</f>
        <v>0</v>
      </c>
      <c r="O144" s="31">
        <f>'декабрь 2014г. по 6-10'!O144+'декабрь 2014г. по 0,4'!O141</f>
        <v>0</v>
      </c>
      <c r="P144" s="31">
        <f>'декабрь 2014г. по 6-10'!P144+'декабрь 2014г. по 0,4'!P141</f>
        <v>0</v>
      </c>
      <c r="Q144" s="31">
        <f>'декабрь 2014г. по 6-10'!Q144+'декабрь 2014г. по 0,4'!Q141</f>
        <v>0</v>
      </c>
    </row>
    <row r="145" spans="1:17" ht="12.75" customHeight="1" x14ac:dyDescent="0.2">
      <c r="A145" s="18"/>
      <c r="B145" s="53"/>
      <c r="C145" s="50" t="s">
        <v>215</v>
      </c>
      <c r="D145" s="31">
        <f>'декабрь 2014г. по 6-10'!D145+'декабрь 2014г. по 0,4'!D142</f>
        <v>3</v>
      </c>
      <c r="E145" s="31">
        <f>'декабрь 2014г. по 6-10'!E145+'декабрь 2014г. по 0,4'!E142</f>
        <v>34</v>
      </c>
      <c r="F145" s="31">
        <f>'декабрь 2014г. по 6-10'!F145+'декабрь 2014г. по 0,4'!F142</f>
        <v>3</v>
      </c>
      <c r="G145" s="31">
        <f>'декабрь 2014г. по 6-10'!G145+'декабрь 2014г. по 0,4'!G142</f>
        <v>34</v>
      </c>
      <c r="H145" s="31">
        <f>'декабрь 2014г. по 6-10'!H145+'декабрь 2014г. по 0,4'!H142</f>
        <v>0</v>
      </c>
      <c r="I145" s="31">
        <f>'декабрь 2014г. по 6-10'!I145+'декабрь 2014г. по 0,4'!I142</f>
        <v>0</v>
      </c>
      <c r="J145" s="31">
        <f>'декабрь 2014г. по 6-10'!J145+'декабрь 2014г. по 0,4'!J142</f>
        <v>3</v>
      </c>
      <c r="K145" s="31">
        <f>'декабрь 2014г. по 6-10'!K145+'декабрь 2014г. по 0,4'!K142</f>
        <v>34</v>
      </c>
      <c r="L145" s="31">
        <f>'декабрь 2014г. по 6-10'!L145+'декабрь 2014г. по 0,4'!L142</f>
        <v>0</v>
      </c>
      <c r="M145" s="31">
        <f>'декабрь 2014г. по 6-10'!M145+'декабрь 2014г. по 0,4'!M142</f>
        <v>0</v>
      </c>
      <c r="N145" s="31">
        <f>'декабрь 2014г. по 6-10'!N145+'декабрь 2014г. по 0,4'!N142</f>
        <v>0</v>
      </c>
      <c r="O145" s="31">
        <f>'декабрь 2014г. по 6-10'!O145+'декабрь 2014г. по 0,4'!O142</f>
        <v>0</v>
      </c>
      <c r="P145" s="31">
        <f>'декабрь 2014г. по 6-10'!P145+'декабрь 2014г. по 0,4'!P142</f>
        <v>0</v>
      </c>
      <c r="Q145" s="31">
        <f>'декабрь 2014г. по 6-10'!Q145+'декабрь 2014г. по 0,4'!Q142</f>
        <v>0</v>
      </c>
    </row>
    <row r="146" spans="1:17" ht="12.75" customHeight="1" x14ac:dyDescent="0.2">
      <c r="A146" s="18"/>
      <c r="B146" s="53"/>
      <c r="C146" s="56" t="s">
        <v>216</v>
      </c>
      <c r="D146" s="31">
        <f>'декабрь 2014г. по 6-10'!D146+'декабрь 2014г. по 0,4'!D143</f>
        <v>2</v>
      </c>
      <c r="E146" s="31">
        <f>'декабрь 2014г. по 6-10'!E146+'декабрь 2014г. по 0,4'!E143</f>
        <v>112</v>
      </c>
      <c r="F146" s="31">
        <f>'декабрь 2014г. по 6-10'!F146+'декабрь 2014г. по 0,4'!F143</f>
        <v>2</v>
      </c>
      <c r="G146" s="31">
        <f>'декабрь 2014г. по 6-10'!G146+'декабрь 2014г. по 0,4'!G143</f>
        <v>112</v>
      </c>
      <c r="H146" s="31">
        <f>'декабрь 2014г. по 6-10'!H146+'декабрь 2014г. по 0,4'!H143</f>
        <v>0</v>
      </c>
      <c r="I146" s="31">
        <f>'декабрь 2014г. по 6-10'!I146+'декабрь 2014г. по 0,4'!I143</f>
        <v>0</v>
      </c>
      <c r="J146" s="31">
        <f>'декабрь 2014г. по 6-10'!J146+'декабрь 2014г. по 0,4'!J143</f>
        <v>2</v>
      </c>
      <c r="K146" s="31">
        <f>'декабрь 2014г. по 6-10'!K146+'декабрь 2014г. по 0,4'!K143</f>
        <v>112</v>
      </c>
      <c r="L146" s="31">
        <f>'декабрь 2014г. по 6-10'!L146+'декабрь 2014г. по 0,4'!L143</f>
        <v>0</v>
      </c>
      <c r="M146" s="31">
        <f>'декабрь 2014г. по 6-10'!M146+'декабрь 2014г. по 0,4'!M143</f>
        <v>0</v>
      </c>
      <c r="N146" s="31">
        <f>'декабрь 2014г. по 6-10'!N146+'декабрь 2014г. по 0,4'!N143</f>
        <v>0</v>
      </c>
      <c r="O146" s="31">
        <f>'декабрь 2014г. по 6-10'!O146+'декабрь 2014г. по 0,4'!O143</f>
        <v>0</v>
      </c>
      <c r="P146" s="31">
        <f>'декабрь 2014г. по 6-10'!P146+'декабрь 2014г. по 0,4'!P143</f>
        <v>0</v>
      </c>
      <c r="Q146" s="31">
        <f>'декабрь 2014г. по 6-10'!Q146+'декабрь 2014г. по 0,4'!Q143</f>
        <v>0</v>
      </c>
    </row>
    <row r="147" spans="1:17" ht="12.75" customHeight="1" x14ac:dyDescent="0.2">
      <c r="A147" s="18"/>
      <c r="B147" s="53"/>
      <c r="C147" s="57" t="s">
        <v>217</v>
      </c>
      <c r="D147" s="31">
        <f>'декабрь 2014г. по 6-10'!D147+'декабрь 2014г. по 0,4'!D144</f>
        <v>25</v>
      </c>
      <c r="E147" s="31">
        <f>'декабрь 2014г. по 6-10'!E147+'декабрь 2014г. по 0,4'!E144</f>
        <v>164.5</v>
      </c>
      <c r="F147" s="31">
        <f>'декабрь 2014г. по 6-10'!F147+'декабрь 2014г. по 0,4'!F144</f>
        <v>22</v>
      </c>
      <c r="G147" s="31">
        <f>'декабрь 2014г. по 6-10'!G147+'декабрь 2014г. по 0,4'!G144</f>
        <v>102</v>
      </c>
      <c r="H147" s="31">
        <f>'декабрь 2014г. по 6-10'!H147+'декабрь 2014г. по 0,4'!H144</f>
        <v>0</v>
      </c>
      <c r="I147" s="31">
        <f>'декабрь 2014г. по 6-10'!I147+'декабрь 2014г. по 0,4'!I144</f>
        <v>0</v>
      </c>
      <c r="J147" s="31">
        <f>'декабрь 2014г. по 6-10'!J147+'декабрь 2014г. по 0,4'!J144</f>
        <v>24</v>
      </c>
      <c r="K147" s="31">
        <f>'декабрь 2014г. по 6-10'!K147+'декабрь 2014г. по 0,4'!K144</f>
        <v>109.5</v>
      </c>
      <c r="L147" s="31">
        <f>'декабрь 2014г. по 6-10'!L147+'декабрь 2014г. по 0,4'!L144</f>
        <v>0</v>
      </c>
      <c r="M147" s="31">
        <f>'декабрь 2014г. по 6-10'!M147+'декабрь 2014г. по 0,4'!M144</f>
        <v>0</v>
      </c>
      <c r="N147" s="31">
        <f>'декабрь 2014г. по 6-10'!N147+'декабрь 2014г. по 0,4'!N144</f>
        <v>0</v>
      </c>
      <c r="O147" s="31">
        <f>'декабрь 2014г. по 6-10'!O147+'декабрь 2014г. по 0,4'!O144</f>
        <v>0</v>
      </c>
      <c r="P147" s="31">
        <f>'декабрь 2014г. по 6-10'!P147+'декабрь 2014г. по 0,4'!P144</f>
        <v>0</v>
      </c>
      <c r="Q147" s="31">
        <f>'декабрь 2014г. по 6-10'!Q147+'декабрь 2014г. по 0,4'!Q144</f>
        <v>0</v>
      </c>
    </row>
    <row r="148" spans="1:17" ht="12.75" customHeight="1" x14ac:dyDescent="0.2">
      <c r="A148" s="18"/>
      <c r="B148" s="53"/>
      <c r="C148" s="50" t="s">
        <v>218</v>
      </c>
      <c r="D148" s="31">
        <f>'декабрь 2014г. по 6-10'!D148+'декабрь 2014г. по 0,4'!D145</f>
        <v>5</v>
      </c>
      <c r="E148" s="31">
        <f>'декабрь 2014г. по 6-10'!E148+'декабрь 2014г. по 0,4'!E145</f>
        <v>33</v>
      </c>
      <c r="F148" s="31">
        <f>'декабрь 2014г. по 6-10'!F148+'декабрь 2014г. по 0,4'!F145</f>
        <v>4</v>
      </c>
      <c r="G148" s="31">
        <f>'декабрь 2014г. по 6-10'!G148+'декабрь 2014г. по 0,4'!G145</f>
        <v>23</v>
      </c>
      <c r="H148" s="31">
        <f>'декабрь 2014г. по 6-10'!H148+'декабрь 2014г. по 0,4'!H145</f>
        <v>0</v>
      </c>
      <c r="I148" s="31">
        <f>'декабрь 2014г. по 6-10'!I148+'декабрь 2014г. по 0,4'!I145</f>
        <v>0</v>
      </c>
      <c r="J148" s="31">
        <f>'декабрь 2014г. по 6-10'!J148+'декабрь 2014г. по 0,4'!J145</f>
        <v>5</v>
      </c>
      <c r="K148" s="31">
        <f>'декабрь 2014г. по 6-10'!K148+'декабрь 2014г. по 0,4'!K145</f>
        <v>33</v>
      </c>
      <c r="L148" s="31">
        <f>'декабрь 2014г. по 6-10'!L148+'декабрь 2014г. по 0,4'!L145</f>
        <v>0</v>
      </c>
      <c r="M148" s="31">
        <f>'декабрь 2014г. по 6-10'!M148+'декабрь 2014г. по 0,4'!M145</f>
        <v>0</v>
      </c>
      <c r="N148" s="31">
        <f>'декабрь 2014г. по 6-10'!N148+'декабрь 2014г. по 0,4'!N145</f>
        <v>0</v>
      </c>
      <c r="O148" s="31">
        <f>'декабрь 2014г. по 6-10'!O148+'декабрь 2014г. по 0,4'!O145</f>
        <v>0</v>
      </c>
      <c r="P148" s="31">
        <f>'декабрь 2014г. по 6-10'!P148+'декабрь 2014г. по 0,4'!P145</f>
        <v>0</v>
      </c>
      <c r="Q148" s="31">
        <f>'декабрь 2014г. по 6-10'!Q148+'декабрь 2014г. по 0,4'!Q145</f>
        <v>0</v>
      </c>
    </row>
    <row r="149" spans="1:17" ht="12.75" customHeight="1" x14ac:dyDescent="0.2">
      <c r="A149" s="18"/>
      <c r="B149" s="53"/>
      <c r="C149" s="50" t="s">
        <v>219</v>
      </c>
      <c r="D149" s="31">
        <f>'декабрь 2014г. по 6-10'!D149+'декабрь 2014г. по 0,4'!D146</f>
        <v>9</v>
      </c>
      <c r="E149" s="31">
        <f>'декабрь 2014г. по 6-10'!E149+'декабрь 2014г. по 0,4'!E146</f>
        <v>328.5</v>
      </c>
      <c r="F149" s="31">
        <f>'декабрь 2014г. по 6-10'!F149+'декабрь 2014г. по 0,4'!F146</f>
        <v>7</v>
      </c>
      <c r="G149" s="31">
        <f>'декабрь 2014г. по 6-10'!G149+'декабрь 2014г. по 0,4'!G146</f>
        <v>158.5</v>
      </c>
      <c r="H149" s="31">
        <f>'декабрь 2014г. по 6-10'!H149+'декабрь 2014г. по 0,4'!H146</f>
        <v>0</v>
      </c>
      <c r="I149" s="31">
        <f>'декабрь 2014г. по 6-10'!I149+'декабрь 2014г. по 0,4'!I146</f>
        <v>0</v>
      </c>
      <c r="J149" s="31">
        <f>'декабрь 2014г. по 6-10'!J149+'декабрь 2014г. по 0,4'!J146</f>
        <v>5</v>
      </c>
      <c r="K149" s="31">
        <f>'декабрь 2014г. по 6-10'!K149+'декабрь 2014г. по 0,4'!K146</f>
        <v>28.5</v>
      </c>
      <c r="L149" s="31">
        <f>'декабрь 2014г. по 6-10'!L149+'декабрь 2014г. по 0,4'!L146</f>
        <v>0</v>
      </c>
      <c r="M149" s="31">
        <f>'декабрь 2014г. по 6-10'!M149+'декабрь 2014г. по 0,4'!M146</f>
        <v>0</v>
      </c>
      <c r="N149" s="31">
        <f>'декабрь 2014г. по 6-10'!N149+'декабрь 2014г. по 0,4'!N146</f>
        <v>0</v>
      </c>
      <c r="O149" s="31">
        <f>'декабрь 2014г. по 6-10'!O149+'декабрь 2014г. по 0,4'!O146</f>
        <v>0</v>
      </c>
      <c r="P149" s="31">
        <f>'декабрь 2014г. по 6-10'!P149+'декабрь 2014г. по 0,4'!P146</f>
        <v>0</v>
      </c>
      <c r="Q149" s="31">
        <f>'декабрь 2014г. по 6-10'!Q149+'декабрь 2014г. по 0,4'!Q146</f>
        <v>0</v>
      </c>
    </row>
    <row r="150" spans="1:17" ht="12.75" customHeight="1" x14ac:dyDescent="0.2">
      <c r="A150" s="18"/>
      <c r="B150" s="53"/>
      <c r="C150" s="50" t="s">
        <v>220</v>
      </c>
      <c r="D150" s="31">
        <f>'декабрь 2014г. по 6-10'!D150+'декабрь 2014г. по 0,4'!D147</f>
        <v>21</v>
      </c>
      <c r="E150" s="31">
        <f>'декабрь 2014г. по 6-10'!E150+'декабрь 2014г. по 0,4'!E147</f>
        <v>401.75</v>
      </c>
      <c r="F150" s="31">
        <f>'декабрь 2014г. по 6-10'!F150+'декабрь 2014г. по 0,4'!F147</f>
        <v>16</v>
      </c>
      <c r="G150" s="31">
        <f>'декабрь 2014г. по 6-10'!G150+'декабрь 2014г. по 0,4'!G147</f>
        <v>202.5</v>
      </c>
      <c r="H150" s="31">
        <f>'декабрь 2014г. по 6-10'!H150+'декабрь 2014г. по 0,4'!H147</f>
        <v>0</v>
      </c>
      <c r="I150" s="31">
        <f>'декабрь 2014г. по 6-10'!I150+'декабрь 2014г. по 0,4'!I147</f>
        <v>0</v>
      </c>
      <c r="J150" s="31">
        <f>'декабрь 2014г. по 6-10'!J150+'декабрь 2014г. по 0,4'!J147</f>
        <v>12</v>
      </c>
      <c r="K150" s="31">
        <f>'декабрь 2014г. по 6-10'!K150+'декабрь 2014г. по 0,4'!K147</f>
        <v>112.5</v>
      </c>
      <c r="L150" s="31">
        <f>'декабрь 2014г. по 6-10'!L150+'декабрь 2014г. по 0,4'!L147</f>
        <v>0</v>
      </c>
      <c r="M150" s="31">
        <f>'декабрь 2014г. по 6-10'!M150+'декабрь 2014г. по 0,4'!M147</f>
        <v>0</v>
      </c>
      <c r="N150" s="31">
        <f>'декабрь 2014г. по 6-10'!N150+'декабрь 2014г. по 0,4'!N147</f>
        <v>0</v>
      </c>
      <c r="O150" s="31">
        <f>'декабрь 2014г. по 6-10'!O150+'декабрь 2014г. по 0,4'!O147</f>
        <v>0</v>
      </c>
      <c r="P150" s="31">
        <f>'декабрь 2014г. по 6-10'!P150+'декабрь 2014г. по 0,4'!P147</f>
        <v>0</v>
      </c>
      <c r="Q150" s="31">
        <f>'декабрь 2014г. по 6-10'!Q150+'декабрь 2014г. по 0,4'!Q147</f>
        <v>0</v>
      </c>
    </row>
    <row r="151" spans="1:17" ht="12.75" customHeight="1" x14ac:dyDescent="0.2">
      <c r="A151" s="18"/>
      <c r="B151" s="53"/>
      <c r="C151" s="50" t="s">
        <v>221</v>
      </c>
      <c r="D151" s="31">
        <f>'декабрь 2014г. по 6-10'!D151+'декабрь 2014г. по 0,4'!D148</f>
        <v>1</v>
      </c>
      <c r="E151" s="31">
        <f>'декабрь 2014г. по 6-10'!E151+'декабрь 2014г. по 0,4'!E148</f>
        <v>3</v>
      </c>
      <c r="F151" s="31">
        <f>'декабрь 2014г. по 6-10'!F151+'декабрь 2014г. по 0,4'!F148</f>
        <v>1</v>
      </c>
      <c r="G151" s="31">
        <f>'декабрь 2014г. по 6-10'!G151+'декабрь 2014г. по 0,4'!G148</f>
        <v>3</v>
      </c>
      <c r="H151" s="31">
        <f>'декабрь 2014г. по 6-10'!H151+'декабрь 2014г. по 0,4'!H148</f>
        <v>0</v>
      </c>
      <c r="I151" s="31">
        <f>'декабрь 2014г. по 6-10'!I151+'декабрь 2014г. по 0,4'!I148</f>
        <v>0</v>
      </c>
      <c r="J151" s="31">
        <f>'декабрь 2014г. по 6-10'!J151+'декабрь 2014г. по 0,4'!J148</f>
        <v>1</v>
      </c>
      <c r="K151" s="31">
        <f>'декабрь 2014г. по 6-10'!K151+'декабрь 2014г. по 0,4'!K148</f>
        <v>3</v>
      </c>
      <c r="L151" s="31">
        <f>'декабрь 2014г. по 6-10'!L151+'декабрь 2014г. по 0,4'!L148</f>
        <v>0</v>
      </c>
      <c r="M151" s="31">
        <f>'декабрь 2014г. по 6-10'!M151+'декабрь 2014г. по 0,4'!M148</f>
        <v>0</v>
      </c>
      <c r="N151" s="31">
        <f>'декабрь 2014г. по 6-10'!N151+'декабрь 2014г. по 0,4'!N148</f>
        <v>0</v>
      </c>
      <c r="O151" s="31">
        <f>'декабрь 2014г. по 6-10'!O151+'декабрь 2014г. по 0,4'!O148</f>
        <v>0</v>
      </c>
      <c r="P151" s="31">
        <f>'декабрь 2014г. по 6-10'!P151+'декабрь 2014г. по 0,4'!P148</f>
        <v>0</v>
      </c>
      <c r="Q151" s="31">
        <f>'декабрь 2014г. по 6-10'!Q151+'декабрь 2014г. по 0,4'!Q148</f>
        <v>0</v>
      </c>
    </row>
    <row r="152" spans="1:17" ht="12.75" customHeight="1" x14ac:dyDescent="0.2">
      <c r="A152" s="18"/>
      <c r="B152" s="53"/>
      <c r="C152" s="50" t="s">
        <v>222</v>
      </c>
      <c r="D152" s="31">
        <f>'декабрь 2014г. по 6-10'!D152+'декабрь 2014г. по 0,4'!D149</f>
        <v>4</v>
      </c>
      <c r="E152" s="31">
        <f>'декабрь 2014г. по 6-10'!E152+'декабрь 2014г. по 0,4'!E149</f>
        <v>20</v>
      </c>
      <c r="F152" s="31">
        <f>'декабрь 2014г. по 6-10'!F152+'декабрь 2014г. по 0,4'!F149</f>
        <v>4</v>
      </c>
      <c r="G152" s="31">
        <f>'декабрь 2014г. по 6-10'!G152+'декабрь 2014г. по 0,4'!G149</f>
        <v>20</v>
      </c>
      <c r="H152" s="31">
        <f>'декабрь 2014г. по 6-10'!H152+'декабрь 2014г. по 0,4'!H149</f>
        <v>0</v>
      </c>
      <c r="I152" s="31">
        <f>'декабрь 2014г. по 6-10'!I152+'декабрь 2014г. по 0,4'!I149</f>
        <v>0</v>
      </c>
      <c r="J152" s="31">
        <f>'декабрь 2014г. по 6-10'!J152+'декабрь 2014г. по 0,4'!J149</f>
        <v>4</v>
      </c>
      <c r="K152" s="31">
        <f>'декабрь 2014г. по 6-10'!K152+'декабрь 2014г. по 0,4'!K149</f>
        <v>20</v>
      </c>
      <c r="L152" s="31">
        <f>'декабрь 2014г. по 6-10'!L152+'декабрь 2014г. по 0,4'!L149</f>
        <v>0</v>
      </c>
      <c r="M152" s="31">
        <f>'декабрь 2014г. по 6-10'!M152+'декабрь 2014г. по 0,4'!M149</f>
        <v>0</v>
      </c>
      <c r="N152" s="31">
        <f>'декабрь 2014г. по 6-10'!N152+'декабрь 2014г. по 0,4'!N149</f>
        <v>0</v>
      </c>
      <c r="O152" s="31">
        <f>'декабрь 2014г. по 6-10'!O152+'декабрь 2014г. по 0,4'!O149</f>
        <v>0</v>
      </c>
      <c r="P152" s="31">
        <f>'декабрь 2014г. по 6-10'!P152+'декабрь 2014г. по 0,4'!P149</f>
        <v>0</v>
      </c>
      <c r="Q152" s="31">
        <f>'декабрь 2014г. по 6-10'!Q152+'декабрь 2014г. по 0,4'!Q149</f>
        <v>0</v>
      </c>
    </row>
    <row r="153" spans="1:17" ht="18.75" customHeight="1" x14ac:dyDescent="0.2">
      <c r="A153" s="18"/>
      <c r="B153" s="53"/>
      <c r="C153" s="20" t="s">
        <v>30</v>
      </c>
      <c r="D153" s="68">
        <f>SUM(D104:D152)</f>
        <v>645</v>
      </c>
      <c r="E153" s="68">
        <f t="shared" ref="E153:Q153" si="2">SUM(E104:E152)</f>
        <v>21363.449999999997</v>
      </c>
      <c r="F153" s="68">
        <f t="shared" si="2"/>
        <v>453</v>
      </c>
      <c r="G153" s="68">
        <f t="shared" si="2"/>
        <v>9398.4499999999989</v>
      </c>
      <c r="H153" s="68">
        <f t="shared" si="2"/>
        <v>0</v>
      </c>
      <c r="I153" s="68">
        <f t="shared" si="2"/>
        <v>0</v>
      </c>
      <c r="J153" s="68">
        <f t="shared" si="2"/>
        <v>531</v>
      </c>
      <c r="K153" s="68">
        <f t="shared" si="2"/>
        <v>6680.4</v>
      </c>
      <c r="L153" s="68">
        <f t="shared" si="2"/>
        <v>0</v>
      </c>
      <c r="M153" s="68">
        <f t="shared" si="2"/>
        <v>0</v>
      </c>
      <c r="N153" s="68">
        <f t="shared" si="2"/>
        <v>0</v>
      </c>
      <c r="O153" s="68">
        <f t="shared" si="2"/>
        <v>0</v>
      </c>
      <c r="P153" s="68">
        <f t="shared" si="2"/>
        <v>0</v>
      </c>
      <c r="Q153" s="68">
        <f t="shared" si="2"/>
        <v>0</v>
      </c>
    </row>
    <row r="154" spans="1:17" ht="15" x14ac:dyDescent="0.25">
      <c r="A154" s="18"/>
      <c r="B154" s="18"/>
      <c r="C154" s="52" t="s">
        <v>250</v>
      </c>
      <c r="D154" s="31"/>
      <c r="E154" s="31"/>
      <c r="F154" s="31"/>
      <c r="G154" s="31"/>
      <c r="H154" s="24"/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">
      <c r="A155" s="18"/>
      <c r="B155" s="18"/>
      <c r="C155" s="18" t="s">
        <v>224</v>
      </c>
      <c r="D155" s="31">
        <f>'декабрь 2014г. по 6-10'!D155+'декабрь 2014г. по 0,4'!D152</f>
        <v>91</v>
      </c>
      <c r="E155" s="31">
        <f>'декабрь 2014г. по 6-10'!E155+'декабрь 2014г. по 0,4'!E152</f>
        <v>2727.9</v>
      </c>
      <c r="F155" s="31">
        <f>'декабрь 2014г. по 6-10'!F155+'декабрь 2014г. по 0,4'!F152</f>
        <v>60</v>
      </c>
      <c r="G155" s="31">
        <f>'декабрь 2014г. по 6-10'!G155+'декабрь 2014г. по 0,4'!G152</f>
        <v>1089</v>
      </c>
      <c r="H155" s="31">
        <f>'декабрь 2014г. по 6-10'!H155+'декабрь 2014г. по 0,4'!H152</f>
        <v>0</v>
      </c>
      <c r="I155" s="31">
        <f>'декабрь 2014г. по 6-10'!I155+'декабрь 2014г. по 0,4'!I152</f>
        <v>0</v>
      </c>
      <c r="J155" s="31">
        <f>'декабрь 2014г. по 6-10'!J155+'декабрь 2014г. по 0,4'!J152</f>
        <v>44</v>
      </c>
      <c r="K155" s="31">
        <f>'декабрь 2014г. по 6-10'!K155+'декабрь 2014г. по 0,4'!K152</f>
        <v>842</v>
      </c>
      <c r="L155" s="31">
        <f>'декабрь 2014г. по 6-10'!L155+'декабрь 2014г. по 0,4'!L152</f>
        <v>0</v>
      </c>
      <c r="M155" s="31">
        <f>'декабрь 2014г. по 6-10'!M155+'декабрь 2014г. по 0,4'!M152</f>
        <v>0</v>
      </c>
      <c r="N155" s="31">
        <f>'декабрь 2014г. по 6-10'!N155+'декабрь 2014г. по 0,4'!N152</f>
        <v>0</v>
      </c>
      <c r="O155" s="31">
        <f>'декабрь 2014г. по 6-10'!O155+'декабрь 2014г. по 0,4'!O152</f>
        <v>0</v>
      </c>
      <c r="P155" s="31">
        <f>'декабрь 2014г. по 6-10'!P155+'декабрь 2014г. по 0,4'!P152</f>
        <v>0</v>
      </c>
      <c r="Q155" s="31">
        <f>'декабрь 2014г. по 6-10'!Q155+'декабрь 2014г. по 0,4'!Q152</f>
        <v>0</v>
      </c>
    </row>
    <row r="156" spans="1:17" ht="12.75" customHeight="1" x14ac:dyDescent="0.2">
      <c r="A156" s="18"/>
      <c r="B156" s="18"/>
      <c r="C156" s="18" t="s">
        <v>225</v>
      </c>
      <c r="D156" s="31">
        <f>'декабрь 2014г. по 6-10'!D156+'декабрь 2014г. по 0,4'!D153</f>
        <v>72</v>
      </c>
      <c r="E156" s="31">
        <f>'декабрь 2014г. по 6-10'!E156+'декабрь 2014г. по 0,4'!E153</f>
        <v>2849.25</v>
      </c>
      <c r="F156" s="31">
        <f>'декабрь 2014г. по 6-10'!F156+'декабрь 2014г. по 0,4'!F153</f>
        <v>49</v>
      </c>
      <c r="G156" s="31">
        <f>'декабрь 2014г. по 6-10'!G156+'декабрь 2014г. по 0,4'!G153</f>
        <v>1916</v>
      </c>
      <c r="H156" s="31">
        <f>'декабрь 2014г. по 6-10'!H156+'декабрь 2014г. по 0,4'!H153</f>
        <v>0</v>
      </c>
      <c r="I156" s="31">
        <f>'декабрь 2014г. по 6-10'!I156+'декабрь 2014г. по 0,4'!I153</f>
        <v>0</v>
      </c>
      <c r="J156" s="31">
        <f>'декабрь 2014г. по 6-10'!J156+'декабрь 2014г. по 0,4'!J153</f>
        <v>26</v>
      </c>
      <c r="K156" s="31">
        <f>'декабрь 2014г. по 6-10'!K156+'декабрь 2014г. по 0,4'!K153</f>
        <v>647</v>
      </c>
      <c r="L156" s="31">
        <f>'декабрь 2014г. по 6-10'!L156+'декабрь 2014г. по 0,4'!L153</f>
        <v>0</v>
      </c>
      <c r="M156" s="31">
        <f>'декабрь 2014г. по 6-10'!M156+'декабрь 2014г. по 0,4'!M153</f>
        <v>0</v>
      </c>
      <c r="N156" s="31">
        <f>'декабрь 2014г. по 6-10'!N156+'декабрь 2014г. по 0,4'!N153</f>
        <v>0</v>
      </c>
      <c r="O156" s="31">
        <f>'декабрь 2014г. по 6-10'!O156+'декабрь 2014г. по 0,4'!O153</f>
        <v>0</v>
      </c>
      <c r="P156" s="31">
        <f>'декабрь 2014г. по 6-10'!P156+'декабрь 2014г. по 0,4'!P153</f>
        <v>0</v>
      </c>
      <c r="Q156" s="31">
        <f>'декабрь 2014г. по 6-10'!Q156+'декабрь 2014г. по 0,4'!Q153</f>
        <v>0</v>
      </c>
    </row>
    <row r="157" spans="1:17" ht="12.75" customHeight="1" x14ac:dyDescent="0.2">
      <c r="A157" s="18"/>
      <c r="B157" s="18"/>
      <c r="C157" s="18" t="s">
        <v>346</v>
      </c>
      <c r="D157" s="31">
        <f>'декабрь 2014г. по 6-10'!D157+'декабрь 2014г. по 0,4'!D154</f>
        <v>7</v>
      </c>
      <c r="E157" s="31">
        <f>'декабрь 2014г. по 6-10'!E157+'декабрь 2014г. по 0,4'!E154</f>
        <v>20</v>
      </c>
      <c r="F157" s="31">
        <f>'декабрь 2014г. по 6-10'!F157+'декабрь 2014г. по 0,4'!F154</f>
        <v>0</v>
      </c>
      <c r="G157" s="31">
        <f>'декабрь 2014г. по 6-10'!G157+'декабрь 2014г. по 0,4'!G154</f>
        <v>0</v>
      </c>
      <c r="H157" s="31">
        <f>'декабрь 2014г. по 6-10'!H157+'декабрь 2014г. по 0,4'!H154</f>
        <v>0</v>
      </c>
      <c r="I157" s="31">
        <f>'декабрь 2014г. по 6-10'!I157+'декабрь 2014г. по 0,4'!I154</f>
        <v>0</v>
      </c>
      <c r="J157" s="31">
        <f>'декабрь 2014г. по 6-10'!J157+'декабрь 2014г. по 0,4'!J154</f>
        <v>7</v>
      </c>
      <c r="K157" s="31">
        <f>'декабрь 2014г. по 6-10'!K157+'декабрь 2014г. по 0,4'!K154</f>
        <v>20</v>
      </c>
      <c r="L157" s="31">
        <f>'декабрь 2014г. по 6-10'!L157+'декабрь 2014г. по 0,4'!L154</f>
        <v>0</v>
      </c>
      <c r="M157" s="31">
        <f>'декабрь 2014г. по 6-10'!M157+'декабрь 2014г. по 0,4'!M154</f>
        <v>0</v>
      </c>
      <c r="N157" s="31">
        <f>'декабрь 2014г. по 6-10'!N157+'декабрь 2014г. по 0,4'!N154</f>
        <v>0</v>
      </c>
      <c r="O157" s="31">
        <f>'декабрь 2014г. по 6-10'!O157+'декабрь 2014г. по 0,4'!O154</f>
        <v>0</v>
      </c>
      <c r="P157" s="31">
        <f>'декабрь 2014г. по 6-10'!P157+'декабрь 2014г. по 0,4'!P154</f>
        <v>0</v>
      </c>
      <c r="Q157" s="31">
        <f>'декабрь 2014г. по 6-10'!Q157+'декабрь 2014г. по 0,4'!Q154</f>
        <v>0</v>
      </c>
    </row>
    <row r="158" spans="1:17" ht="12.75" customHeight="1" x14ac:dyDescent="0.2">
      <c r="A158" s="18"/>
      <c r="B158" s="18"/>
      <c r="C158" s="18" t="s">
        <v>226</v>
      </c>
      <c r="D158" s="31">
        <f>'декабрь 2014г. по 6-10'!D158+'декабрь 2014г. по 0,4'!D155</f>
        <v>1</v>
      </c>
      <c r="E158" s="31">
        <f>'декабрь 2014г. по 6-10'!E158+'декабрь 2014г. по 0,4'!E155</f>
        <v>15</v>
      </c>
      <c r="F158" s="31">
        <f>'декабрь 2014г. по 6-10'!F158+'декабрь 2014г. по 0,4'!F155</f>
        <v>1</v>
      </c>
      <c r="G158" s="31">
        <f>'декабрь 2014г. по 6-10'!G158+'декабрь 2014г. по 0,4'!G155</f>
        <v>15</v>
      </c>
      <c r="H158" s="31">
        <f>'декабрь 2014г. по 6-10'!H158+'декабрь 2014г. по 0,4'!H155</f>
        <v>0</v>
      </c>
      <c r="I158" s="31">
        <f>'декабрь 2014г. по 6-10'!I158+'декабрь 2014г. по 0,4'!I155</f>
        <v>0</v>
      </c>
      <c r="J158" s="31">
        <f>'декабрь 2014г. по 6-10'!J158+'декабрь 2014г. по 0,4'!J155</f>
        <v>1</v>
      </c>
      <c r="K158" s="31">
        <f>'декабрь 2014г. по 6-10'!K158+'декабрь 2014г. по 0,4'!K155</f>
        <v>6</v>
      </c>
      <c r="L158" s="31">
        <f>'декабрь 2014г. по 6-10'!L158+'декабрь 2014г. по 0,4'!L155</f>
        <v>0</v>
      </c>
      <c r="M158" s="31">
        <f>'декабрь 2014г. по 6-10'!M158+'декабрь 2014г. по 0,4'!M155</f>
        <v>0</v>
      </c>
      <c r="N158" s="31">
        <f>'декабрь 2014г. по 6-10'!N158+'декабрь 2014г. по 0,4'!N155</f>
        <v>0</v>
      </c>
      <c r="O158" s="31">
        <f>'декабрь 2014г. по 6-10'!O158+'декабрь 2014г. по 0,4'!O155</f>
        <v>0</v>
      </c>
      <c r="P158" s="31">
        <f>'декабрь 2014г. по 6-10'!P158+'декабрь 2014г. по 0,4'!P155</f>
        <v>0</v>
      </c>
      <c r="Q158" s="31">
        <f>'декабрь 2014г. по 6-10'!Q158+'декабрь 2014г. по 0,4'!Q155</f>
        <v>0</v>
      </c>
    </row>
    <row r="159" spans="1:17" ht="12.75" customHeight="1" x14ac:dyDescent="0.2">
      <c r="A159" s="18"/>
      <c r="B159" s="18"/>
      <c r="C159" s="18" t="s">
        <v>227</v>
      </c>
      <c r="D159" s="31">
        <f>'декабрь 2014г. по 6-10'!D159+'декабрь 2014г. по 0,4'!D156</f>
        <v>15</v>
      </c>
      <c r="E159" s="31">
        <f>'декабрь 2014г. по 6-10'!E159+'декабрь 2014г. по 0,4'!E156</f>
        <v>84</v>
      </c>
      <c r="F159" s="31">
        <f>'декабрь 2014г. по 6-10'!F159+'декабрь 2014г. по 0,4'!F156</f>
        <v>0</v>
      </c>
      <c r="G159" s="31">
        <f>'декабрь 2014г. по 6-10'!G159+'декабрь 2014г. по 0,4'!G156</f>
        <v>0</v>
      </c>
      <c r="H159" s="31">
        <f>'декабрь 2014г. по 6-10'!H159+'декабрь 2014г. по 0,4'!H156</f>
        <v>0</v>
      </c>
      <c r="I159" s="31">
        <f>'декабрь 2014г. по 6-10'!I159+'декабрь 2014г. по 0,4'!I156</f>
        <v>0</v>
      </c>
      <c r="J159" s="31">
        <f>'декабрь 2014г. по 6-10'!J159+'декабрь 2014г. по 0,4'!J156</f>
        <v>15</v>
      </c>
      <c r="K159" s="31">
        <f>'декабрь 2014г. по 6-10'!K159+'декабрь 2014г. по 0,4'!K156</f>
        <v>84</v>
      </c>
      <c r="L159" s="31">
        <f>'декабрь 2014г. по 6-10'!L159+'декабрь 2014г. по 0,4'!L156</f>
        <v>0</v>
      </c>
      <c r="M159" s="31">
        <f>'декабрь 2014г. по 6-10'!M159+'декабрь 2014г. по 0,4'!M156</f>
        <v>0</v>
      </c>
      <c r="N159" s="31">
        <f>'декабрь 2014г. по 6-10'!N159+'декабрь 2014г. по 0,4'!N156</f>
        <v>0</v>
      </c>
      <c r="O159" s="31">
        <f>'декабрь 2014г. по 6-10'!O159+'декабрь 2014г. по 0,4'!O156</f>
        <v>0</v>
      </c>
      <c r="P159" s="31">
        <f>'декабрь 2014г. по 6-10'!P159+'декабрь 2014г. по 0,4'!P156</f>
        <v>0</v>
      </c>
      <c r="Q159" s="31">
        <f>'декабрь 2014г. по 6-10'!Q159+'декабрь 2014г. по 0,4'!Q156</f>
        <v>0</v>
      </c>
    </row>
    <row r="160" spans="1:17" ht="12.75" customHeight="1" x14ac:dyDescent="0.2">
      <c r="A160" s="18"/>
      <c r="B160" s="18"/>
      <c r="C160" s="18" t="s">
        <v>228</v>
      </c>
      <c r="D160" s="31">
        <f>'декабрь 2014г. по 6-10'!D160+'декабрь 2014г. по 0,4'!D157</f>
        <v>2</v>
      </c>
      <c r="E160" s="31">
        <f>'декабрь 2014г. по 6-10'!E160+'декабрь 2014г. по 0,4'!E157</f>
        <v>105</v>
      </c>
      <c r="F160" s="31">
        <f>'декабрь 2014г. по 6-10'!F160+'декабрь 2014г. по 0,4'!F157</f>
        <v>2</v>
      </c>
      <c r="G160" s="31">
        <f>'декабрь 2014г. по 6-10'!G160+'декабрь 2014г. по 0,4'!G157</f>
        <v>105</v>
      </c>
      <c r="H160" s="31">
        <f>'декабрь 2014г. по 6-10'!H160+'декабрь 2014г. по 0,4'!H157</f>
        <v>0</v>
      </c>
      <c r="I160" s="31">
        <f>'декабрь 2014г. по 6-10'!I160+'декабрь 2014г. по 0,4'!I157</f>
        <v>0</v>
      </c>
      <c r="J160" s="31">
        <f>'декабрь 2014г. по 6-10'!J160+'декабрь 2014г. по 0,4'!J157</f>
        <v>3</v>
      </c>
      <c r="K160" s="31">
        <f>'декабрь 2014г. по 6-10'!K160+'декабрь 2014г. по 0,4'!K157</f>
        <v>18</v>
      </c>
      <c r="L160" s="31">
        <f>'декабрь 2014г. по 6-10'!L160+'декабрь 2014г. по 0,4'!L157</f>
        <v>0</v>
      </c>
      <c r="M160" s="31">
        <f>'декабрь 2014г. по 6-10'!M160+'декабрь 2014г. по 0,4'!M157</f>
        <v>0</v>
      </c>
      <c r="N160" s="31">
        <f>'декабрь 2014г. по 6-10'!N160+'декабрь 2014г. по 0,4'!N157</f>
        <v>0</v>
      </c>
      <c r="O160" s="31">
        <f>'декабрь 2014г. по 6-10'!O160+'декабрь 2014г. по 0,4'!O157</f>
        <v>0</v>
      </c>
      <c r="P160" s="31">
        <f>'декабрь 2014г. по 6-10'!P160+'декабрь 2014г. по 0,4'!P157</f>
        <v>0</v>
      </c>
      <c r="Q160" s="31">
        <f>'декабрь 2014г. по 6-10'!Q160+'декабрь 2014г. по 0,4'!Q157</f>
        <v>0</v>
      </c>
    </row>
    <row r="161" spans="1:17" ht="12.75" customHeight="1" x14ac:dyDescent="0.2">
      <c r="A161" s="18"/>
      <c r="B161" s="18"/>
      <c r="C161" s="18" t="s">
        <v>229</v>
      </c>
      <c r="D161" s="31">
        <f>'декабрь 2014г. по 6-10'!D161+'декабрь 2014г. по 0,4'!D158</f>
        <v>26</v>
      </c>
      <c r="E161" s="31">
        <f>'декабрь 2014г. по 6-10'!E161+'декабрь 2014г. по 0,4'!E158</f>
        <v>178</v>
      </c>
      <c r="F161" s="31">
        <f>'декабрь 2014г. по 6-10'!F161+'декабрь 2014г. по 0,4'!F158</f>
        <v>1</v>
      </c>
      <c r="G161" s="31">
        <f>'декабрь 2014г. по 6-10'!G161+'декабрь 2014г. по 0,4'!G158</f>
        <v>10</v>
      </c>
      <c r="H161" s="31">
        <f>'декабрь 2014г. по 6-10'!H161+'декабрь 2014г. по 0,4'!H158</f>
        <v>0</v>
      </c>
      <c r="I161" s="31">
        <f>'декабрь 2014г. по 6-10'!I161+'декабрь 2014г. по 0,4'!I158</f>
        <v>0</v>
      </c>
      <c r="J161" s="31">
        <f>'декабрь 2014г. по 6-10'!J161+'декабрь 2014г. по 0,4'!J158</f>
        <v>26</v>
      </c>
      <c r="K161" s="31">
        <f>'декабрь 2014г. по 6-10'!K161+'декабрь 2014г. по 0,4'!K158</f>
        <v>178</v>
      </c>
      <c r="L161" s="31">
        <f>'декабрь 2014г. по 6-10'!L161+'декабрь 2014г. по 0,4'!L158</f>
        <v>0</v>
      </c>
      <c r="M161" s="31">
        <f>'декабрь 2014г. по 6-10'!M161+'декабрь 2014г. по 0,4'!M158</f>
        <v>0</v>
      </c>
      <c r="N161" s="31">
        <f>'декабрь 2014г. по 6-10'!N161+'декабрь 2014г. по 0,4'!N158</f>
        <v>0</v>
      </c>
      <c r="O161" s="31">
        <f>'декабрь 2014г. по 6-10'!O161+'декабрь 2014г. по 0,4'!O158</f>
        <v>0</v>
      </c>
      <c r="P161" s="31">
        <f>'декабрь 2014г. по 6-10'!P161+'декабрь 2014г. по 0,4'!P158</f>
        <v>0</v>
      </c>
      <c r="Q161" s="31">
        <f>'декабрь 2014г. по 6-10'!Q161+'декабрь 2014г. по 0,4'!Q158</f>
        <v>0</v>
      </c>
    </row>
    <row r="162" spans="1:17" ht="12.75" customHeight="1" x14ac:dyDescent="0.2">
      <c r="A162" s="18"/>
      <c r="B162" s="18"/>
      <c r="C162" s="18" t="s">
        <v>230</v>
      </c>
      <c r="D162" s="31">
        <f>'декабрь 2014г. по 6-10'!D162+'декабрь 2014г. по 0,4'!D159</f>
        <v>3</v>
      </c>
      <c r="E162" s="31">
        <f>'декабрь 2014г. по 6-10'!E162+'декабрь 2014г. по 0,4'!E159</f>
        <v>17</v>
      </c>
      <c r="F162" s="31">
        <f>'декабрь 2014г. по 6-10'!F162+'декабрь 2014г. по 0,4'!F159</f>
        <v>1</v>
      </c>
      <c r="G162" s="31">
        <f>'декабрь 2014г. по 6-10'!G162+'декабрь 2014г. по 0,4'!G159</f>
        <v>10</v>
      </c>
      <c r="H162" s="31">
        <f>'декабрь 2014г. по 6-10'!H162+'декабрь 2014г. по 0,4'!H159</f>
        <v>0</v>
      </c>
      <c r="I162" s="31">
        <f>'декабрь 2014г. по 6-10'!I162+'декабрь 2014г. по 0,4'!I159</f>
        <v>0</v>
      </c>
      <c r="J162" s="31">
        <f>'декабрь 2014г. по 6-10'!J162+'декабрь 2014г. по 0,4'!J159</f>
        <v>3</v>
      </c>
      <c r="K162" s="31">
        <f>'декабрь 2014г. по 6-10'!K162+'декабрь 2014г. по 0,4'!K159</f>
        <v>70</v>
      </c>
      <c r="L162" s="31">
        <f>'декабрь 2014г. по 6-10'!L162+'декабрь 2014г. по 0,4'!L159</f>
        <v>0</v>
      </c>
      <c r="M162" s="31">
        <f>'декабрь 2014г. по 6-10'!M162+'декабрь 2014г. по 0,4'!M159</f>
        <v>0</v>
      </c>
      <c r="N162" s="31">
        <f>'декабрь 2014г. по 6-10'!N162+'декабрь 2014г. по 0,4'!N159</f>
        <v>0</v>
      </c>
      <c r="O162" s="31">
        <f>'декабрь 2014г. по 6-10'!O162+'декабрь 2014г. по 0,4'!O159</f>
        <v>0</v>
      </c>
      <c r="P162" s="31">
        <f>'декабрь 2014г. по 6-10'!P162+'декабрь 2014г. по 0,4'!P159</f>
        <v>0</v>
      </c>
      <c r="Q162" s="31">
        <f>'декабрь 2014г. по 6-10'!Q162+'декабрь 2014г. по 0,4'!Q159</f>
        <v>0</v>
      </c>
    </row>
    <row r="163" spans="1:17" ht="12.75" customHeight="1" x14ac:dyDescent="0.2">
      <c r="A163" s="18"/>
      <c r="B163" s="18"/>
      <c r="C163" s="18" t="s">
        <v>231</v>
      </c>
      <c r="D163" s="31">
        <f>'декабрь 2014г. по 6-10'!D163+'декабрь 2014г. по 0,4'!D160</f>
        <v>1</v>
      </c>
      <c r="E163" s="31">
        <f>'декабрь 2014г. по 6-10'!E163+'декабрь 2014г. по 0,4'!E160</f>
        <v>400</v>
      </c>
      <c r="F163" s="31">
        <f>'декабрь 2014г. по 6-10'!F163+'декабрь 2014г. по 0,4'!F160</f>
        <v>0</v>
      </c>
      <c r="G163" s="31">
        <f>'декабрь 2014г. по 6-10'!G163+'декабрь 2014г. по 0,4'!G160</f>
        <v>0</v>
      </c>
      <c r="H163" s="31">
        <f>'декабрь 2014г. по 6-10'!H163+'декабрь 2014г. по 0,4'!H160</f>
        <v>0</v>
      </c>
      <c r="I163" s="31">
        <f>'декабрь 2014г. по 6-10'!I163+'декабрь 2014г. по 0,4'!I160</f>
        <v>0</v>
      </c>
      <c r="J163" s="31">
        <f>'декабрь 2014г. по 6-10'!J163+'декабрь 2014г. по 0,4'!J160</f>
        <v>0</v>
      </c>
      <c r="K163" s="31">
        <f>'декабрь 2014г. по 6-10'!K163+'декабрь 2014г. по 0,4'!K160</f>
        <v>0</v>
      </c>
      <c r="L163" s="31">
        <f>'декабрь 2014г. по 6-10'!L163+'декабрь 2014г. по 0,4'!L160</f>
        <v>0</v>
      </c>
      <c r="M163" s="31">
        <f>'декабрь 2014г. по 6-10'!M163+'декабрь 2014г. по 0,4'!M160</f>
        <v>0</v>
      </c>
      <c r="N163" s="31">
        <f>'декабрь 2014г. по 6-10'!N163+'декабрь 2014г. по 0,4'!N160</f>
        <v>0</v>
      </c>
      <c r="O163" s="31">
        <f>'декабрь 2014г. по 6-10'!O163+'декабрь 2014г. по 0,4'!O160</f>
        <v>0</v>
      </c>
      <c r="P163" s="31">
        <f>'декабрь 2014г. по 6-10'!P163+'декабрь 2014г. по 0,4'!P160</f>
        <v>0</v>
      </c>
      <c r="Q163" s="31">
        <f>'декабрь 2014г. по 6-10'!Q163+'декабрь 2014г. по 0,4'!Q160</f>
        <v>0</v>
      </c>
    </row>
    <row r="164" spans="1:17" ht="12.75" customHeight="1" x14ac:dyDescent="0.2">
      <c r="A164" s="18"/>
      <c r="B164" s="18"/>
      <c r="C164" s="18" t="s">
        <v>232</v>
      </c>
      <c r="D164" s="31">
        <f>'декабрь 2014г. по 6-10'!D164+'декабрь 2014г. по 0,4'!D161</f>
        <v>17</v>
      </c>
      <c r="E164" s="31">
        <f>'декабрь 2014г. по 6-10'!E164+'декабрь 2014г. по 0,4'!E161</f>
        <v>1742</v>
      </c>
      <c r="F164" s="31">
        <f>'декабрь 2014г. по 6-10'!F164+'декабрь 2014г. по 0,4'!F161</f>
        <v>2</v>
      </c>
      <c r="G164" s="31">
        <f>'декабрь 2014г. по 6-10'!G164+'декабрь 2014г. по 0,4'!G161</f>
        <v>1575</v>
      </c>
      <c r="H164" s="31">
        <f>'декабрь 2014г. по 6-10'!H164+'декабрь 2014г. по 0,4'!H161</f>
        <v>0</v>
      </c>
      <c r="I164" s="31">
        <f>'декабрь 2014г. по 6-10'!I164+'декабрь 2014г. по 0,4'!I161</f>
        <v>0</v>
      </c>
      <c r="J164" s="31">
        <f>'декабрь 2014г. по 6-10'!J164+'декабрь 2014г. по 0,4'!J161</f>
        <v>9</v>
      </c>
      <c r="K164" s="31">
        <f>'декабрь 2014г. по 6-10'!K164+'декабрь 2014г. по 0,4'!K161</f>
        <v>111</v>
      </c>
      <c r="L164" s="31">
        <f>'декабрь 2014г. по 6-10'!L164+'декабрь 2014г. по 0,4'!L161</f>
        <v>0</v>
      </c>
      <c r="M164" s="31">
        <f>'декабрь 2014г. по 6-10'!M164+'декабрь 2014г. по 0,4'!M161</f>
        <v>0</v>
      </c>
      <c r="N164" s="31">
        <f>'декабрь 2014г. по 6-10'!N164+'декабрь 2014г. по 0,4'!N161</f>
        <v>0</v>
      </c>
      <c r="O164" s="31">
        <f>'декабрь 2014г. по 6-10'!O164+'декабрь 2014г. по 0,4'!O161</f>
        <v>0</v>
      </c>
      <c r="P164" s="31">
        <f>'декабрь 2014г. по 6-10'!P164+'декабрь 2014г. по 0,4'!P161</f>
        <v>0</v>
      </c>
      <c r="Q164" s="31">
        <f>'декабрь 2014г. по 6-10'!Q164+'декабрь 2014г. по 0,4'!Q161</f>
        <v>0</v>
      </c>
    </row>
    <row r="165" spans="1:17" ht="12.75" customHeight="1" x14ac:dyDescent="0.2">
      <c r="A165" s="18"/>
      <c r="B165" s="18"/>
      <c r="C165" s="18" t="s">
        <v>233</v>
      </c>
      <c r="D165" s="31">
        <f>'декабрь 2014г. по 6-10'!D165+'декабрь 2014г. по 0,4'!D162</f>
        <v>0</v>
      </c>
      <c r="E165" s="31">
        <f>'декабрь 2014г. по 6-10'!E165+'декабрь 2014г. по 0,4'!E162</f>
        <v>0</v>
      </c>
      <c r="F165" s="31">
        <f>'декабрь 2014г. по 6-10'!F165+'декабрь 2014г. по 0,4'!F162</f>
        <v>0</v>
      </c>
      <c r="G165" s="31">
        <f>'декабрь 2014г. по 6-10'!G165+'декабрь 2014г. по 0,4'!G162</f>
        <v>0</v>
      </c>
      <c r="H165" s="31">
        <f>'декабрь 2014г. по 6-10'!H165+'декабрь 2014г. по 0,4'!H162</f>
        <v>0</v>
      </c>
      <c r="I165" s="31">
        <f>'декабрь 2014г. по 6-10'!I165+'декабрь 2014г. по 0,4'!I162</f>
        <v>0</v>
      </c>
      <c r="J165" s="31">
        <f>'декабрь 2014г. по 6-10'!J165+'декабрь 2014г. по 0,4'!J162</f>
        <v>0</v>
      </c>
      <c r="K165" s="31">
        <f>'декабрь 2014г. по 6-10'!K165+'декабрь 2014г. по 0,4'!K162</f>
        <v>0</v>
      </c>
      <c r="L165" s="31">
        <f>'декабрь 2014г. по 6-10'!L165+'декабрь 2014г. по 0,4'!L162</f>
        <v>0</v>
      </c>
      <c r="M165" s="31">
        <f>'декабрь 2014г. по 6-10'!M165+'декабрь 2014г. по 0,4'!M162</f>
        <v>0</v>
      </c>
      <c r="N165" s="31">
        <f>'декабрь 2014г. по 6-10'!N165+'декабрь 2014г. по 0,4'!N162</f>
        <v>0</v>
      </c>
      <c r="O165" s="31">
        <f>'декабрь 2014г. по 6-10'!O165+'декабрь 2014г. по 0,4'!O162</f>
        <v>0</v>
      </c>
      <c r="P165" s="31">
        <f>'декабрь 2014г. по 6-10'!P165+'декабрь 2014г. по 0,4'!P162</f>
        <v>0</v>
      </c>
      <c r="Q165" s="31">
        <f>'декабрь 2014г. по 6-10'!Q165+'декабрь 2014г. по 0,4'!Q162</f>
        <v>0</v>
      </c>
    </row>
    <row r="166" spans="1:17" ht="12.75" customHeight="1" x14ac:dyDescent="0.2">
      <c r="A166" s="18"/>
      <c r="B166" s="18"/>
      <c r="C166" s="18" t="s">
        <v>234</v>
      </c>
      <c r="D166" s="31">
        <f>'декабрь 2014г. по 6-10'!D166+'декабрь 2014г. по 0,4'!D163</f>
        <v>1</v>
      </c>
      <c r="E166" s="31">
        <f>'декабрь 2014г. по 6-10'!E166+'декабрь 2014г. по 0,4'!E163</f>
        <v>5</v>
      </c>
      <c r="F166" s="31">
        <f>'декабрь 2014г. по 6-10'!F166+'декабрь 2014г. по 0,4'!F163</f>
        <v>1</v>
      </c>
      <c r="G166" s="31">
        <f>'декабрь 2014г. по 6-10'!G166+'декабрь 2014г. по 0,4'!G163</f>
        <v>5</v>
      </c>
      <c r="H166" s="31">
        <f>'декабрь 2014г. по 6-10'!H166+'декабрь 2014г. по 0,4'!H163</f>
        <v>0</v>
      </c>
      <c r="I166" s="31">
        <f>'декабрь 2014г. по 6-10'!I166+'декабрь 2014г. по 0,4'!I163</f>
        <v>0</v>
      </c>
      <c r="J166" s="31">
        <f>'декабрь 2014г. по 6-10'!J166+'декабрь 2014г. по 0,4'!J163</f>
        <v>8</v>
      </c>
      <c r="K166" s="31">
        <f>'декабрь 2014г. по 6-10'!K166+'декабрь 2014г. по 0,4'!K163</f>
        <v>48</v>
      </c>
      <c r="L166" s="31">
        <f>'декабрь 2014г. по 6-10'!L166+'декабрь 2014г. по 0,4'!L163</f>
        <v>0</v>
      </c>
      <c r="M166" s="31">
        <f>'декабрь 2014г. по 6-10'!M166+'декабрь 2014г. по 0,4'!M163</f>
        <v>0</v>
      </c>
      <c r="N166" s="31">
        <f>'декабрь 2014г. по 6-10'!N166+'декабрь 2014г. по 0,4'!N163</f>
        <v>0</v>
      </c>
      <c r="O166" s="31">
        <f>'декабрь 2014г. по 6-10'!O166+'декабрь 2014г. по 0,4'!O163</f>
        <v>0</v>
      </c>
      <c r="P166" s="31">
        <f>'декабрь 2014г. по 6-10'!P166+'декабрь 2014г. по 0,4'!P163</f>
        <v>0</v>
      </c>
      <c r="Q166" s="31">
        <f>'декабрь 2014г. по 6-10'!Q166+'декабрь 2014г. по 0,4'!Q163</f>
        <v>0</v>
      </c>
    </row>
    <row r="167" spans="1:17" ht="12.75" customHeight="1" x14ac:dyDescent="0.2">
      <c r="A167" s="18"/>
      <c r="B167" s="18"/>
      <c r="C167" s="18" t="s">
        <v>235</v>
      </c>
      <c r="D167" s="31">
        <f>'декабрь 2014г. по 6-10'!D167+'декабрь 2014г. по 0,4'!D164</f>
        <v>3</v>
      </c>
      <c r="E167" s="31">
        <f>'декабрь 2014г. по 6-10'!E167+'декабрь 2014г. по 0,4'!E164</f>
        <v>131</v>
      </c>
      <c r="F167" s="31">
        <f>'декабрь 2014г. по 6-10'!F167+'декабрь 2014г. по 0,4'!F164</f>
        <v>3</v>
      </c>
      <c r="G167" s="31">
        <f>'декабрь 2014г. по 6-10'!G167+'декабрь 2014г. по 0,4'!G164</f>
        <v>56</v>
      </c>
      <c r="H167" s="31">
        <f>'декабрь 2014г. по 6-10'!H167+'декабрь 2014г. по 0,4'!H164</f>
        <v>0</v>
      </c>
      <c r="I167" s="31">
        <f>'декабрь 2014г. по 6-10'!I167+'декабрь 2014г. по 0,4'!I164</f>
        <v>0</v>
      </c>
      <c r="J167" s="31">
        <f>'декабрь 2014г. по 6-10'!J167+'декабрь 2014г. по 0,4'!J164</f>
        <v>3</v>
      </c>
      <c r="K167" s="31">
        <f>'декабрь 2014г. по 6-10'!K167+'декабрь 2014г. по 0,4'!K164</f>
        <v>131</v>
      </c>
      <c r="L167" s="31">
        <f>'декабрь 2014г. по 6-10'!L167+'декабрь 2014г. по 0,4'!L164</f>
        <v>0</v>
      </c>
      <c r="M167" s="31">
        <f>'декабрь 2014г. по 6-10'!M167+'декабрь 2014г. по 0,4'!M164</f>
        <v>0</v>
      </c>
      <c r="N167" s="31">
        <f>'декабрь 2014г. по 6-10'!N167+'декабрь 2014г. по 0,4'!N164</f>
        <v>0</v>
      </c>
      <c r="O167" s="31">
        <f>'декабрь 2014г. по 6-10'!O167+'декабрь 2014г. по 0,4'!O164</f>
        <v>0</v>
      </c>
      <c r="P167" s="31">
        <f>'декабрь 2014г. по 6-10'!P167+'декабрь 2014г. по 0,4'!P164</f>
        <v>0</v>
      </c>
      <c r="Q167" s="31">
        <f>'декабрь 2014г. по 6-10'!Q167+'декабрь 2014г. по 0,4'!Q164</f>
        <v>0</v>
      </c>
    </row>
    <row r="168" spans="1:17" ht="12.75" customHeight="1" x14ac:dyDescent="0.2">
      <c r="A168" s="18"/>
      <c r="B168" s="18"/>
      <c r="C168" s="18" t="s">
        <v>347</v>
      </c>
      <c r="D168" s="31">
        <f>'декабрь 2014г. по 6-10'!D168+'декабрь 2014г. по 0,4'!D165</f>
        <v>9</v>
      </c>
      <c r="E168" s="31">
        <f>'декабрь 2014г. по 6-10'!E168+'декабрь 2014г. по 0,4'!E165</f>
        <v>105</v>
      </c>
      <c r="F168" s="31">
        <f>'декабрь 2014г. по 6-10'!F168+'декабрь 2014г. по 0,4'!F165</f>
        <v>1</v>
      </c>
      <c r="G168" s="31">
        <f>'декабрь 2014г. по 6-10'!G168+'декабрь 2014г. по 0,4'!G165</f>
        <v>40</v>
      </c>
      <c r="H168" s="31">
        <f>'декабрь 2014г. по 6-10'!H168+'декабрь 2014г. по 0,4'!H165</f>
        <v>0</v>
      </c>
      <c r="I168" s="31">
        <f>'декабрь 2014г. по 6-10'!I168+'декабрь 2014г. по 0,4'!I165</f>
        <v>0</v>
      </c>
      <c r="J168" s="31">
        <f>'декабрь 2014г. по 6-10'!J168+'декабрь 2014г. по 0,4'!J165</f>
        <v>9</v>
      </c>
      <c r="K168" s="31">
        <f>'декабрь 2014г. по 6-10'!K168+'декабрь 2014г. по 0,4'!K165</f>
        <v>105</v>
      </c>
      <c r="L168" s="31">
        <f>'декабрь 2014г. по 6-10'!L168+'декабрь 2014г. по 0,4'!L165</f>
        <v>0</v>
      </c>
      <c r="M168" s="31">
        <f>'декабрь 2014г. по 6-10'!M168+'декабрь 2014г. по 0,4'!M165</f>
        <v>0</v>
      </c>
      <c r="N168" s="31">
        <f>'декабрь 2014г. по 6-10'!N168+'декабрь 2014г. по 0,4'!N165</f>
        <v>0</v>
      </c>
      <c r="O168" s="31">
        <f>'декабрь 2014г. по 6-10'!O168+'декабрь 2014г. по 0,4'!O165</f>
        <v>0</v>
      </c>
      <c r="P168" s="31">
        <f>'декабрь 2014г. по 6-10'!P168+'декабрь 2014г. по 0,4'!P165</f>
        <v>0</v>
      </c>
      <c r="Q168" s="31">
        <f>'декабрь 2014г. по 6-10'!Q168+'декабрь 2014г. по 0,4'!Q165</f>
        <v>0</v>
      </c>
    </row>
    <row r="169" spans="1:17" ht="12.75" customHeight="1" x14ac:dyDescent="0.2">
      <c r="A169" s="18"/>
      <c r="B169" s="18"/>
      <c r="C169" s="18" t="s">
        <v>236</v>
      </c>
      <c r="D169" s="31">
        <f>'декабрь 2014г. по 6-10'!D169+'декабрь 2014г. по 0,4'!D166</f>
        <v>20</v>
      </c>
      <c r="E169" s="31">
        <f>'декабрь 2014г. по 6-10'!E169+'декабрь 2014г. по 0,4'!E166</f>
        <v>304.25</v>
      </c>
      <c r="F169" s="31">
        <f>'декабрь 2014г. по 6-10'!F169+'декабрь 2014г. по 0,4'!F166</f>
        <v>16</v>
      </c>
      <c r="G169" s="31">
        <f>'декабрь 2014г. по 6-10'!G169+'декабрь 2014г. по 0,4'!G166</f>
        <v>85</v>
      </c>
      <c r="H169" s="31">
        <f>'декабрь 2014г. по 6-10'!H169+'декабрь 2014г. по 0,4'!H166</f>
        <v>0</v>
      </c>
      <c r="I169" s="31">
        <f>'декабрь 2014г. по 6-10'!I169+'декабрь 2014г. по 0,4'!I166</f>
        <v>0</v>
      </c>
      <c r="J169" s="31">
        <f>'декабрь 2014г. по 6-10'!J169+'декабрь 2014г. по 0,4'!J166</f>
        <v>17</v>
      </c>
      <c r="K169" s="31">
        <f>'декабрь 2014г. по 6-10'!K169+'декабрь 2014г. по 0,4'!K166</f>
        <v>154</v>
      </c>
      <c r="L169" s="31">
        <f>'декабрь 2014г. по 6-10'!L169+'декабрь 2014г. по 0,4'!L166</f>
        <v>0</v>
      </c>
      <c r="M169" s="31">
        <f>'декабрь 2014г. по 6-10'!M169+'декабрь 2014г. по 0,4'!M166</f>
        <v>0</v>
      </c>
      <c r="N169" s="31">
        <f>'декабрь 2014г. по 6-10'!N169+'декабрь 2014г. по 0,4'!N166</f>
        <v>0</v>
      </c>
      <c r="O169" s="31">
        <f>'декабрь 2014г. по 6-10'!O169+'декабрь 2014г. по 0,4'!O166</f>
        <v>0</v>
      </c>
      <c r="P169" s="31">
        <f>'декабрь 2014г. по 6-10'!P169+'декабрь 2014г. по 0,4'!P166</f>
        <v>0</v>
      </c>
      <c r="Q169" s="31">
        <f>'декабрь 2014г. по 6-10'!Q169+'декабрь 2014г. по 0,4'!Q166</f>
        <v>0</v>
      </c>
    </row>
    <row r="170" spans="1:17" ht="12.75" customHeight="1" x14ac:dyDescent="0.2">
      <c r="A170" s="18"/>
      <c r="B170" s="18"/>
      <c r="C170" s="18" t="s">
        <v>237</v>
      </c>
      <c r="D170" s="31">
        <f>'декабрь 2014г. по 6-10'!D170+'декабрь 2014г. по 0,4'!D167</f>
        <v>6</v>
      </c>
      <c r="E170" s="31">
        <f>'декабрь 2014г. по 6-10'!E170+'декабрь 2014г. по 0,4'!E167</f>
        <v>214</v>
      </c>
      <c r="F170" s="31">
        <f>'декабрь 2014г. по 6-10'!F170+'декабрь 2014г. по 0,4'!F167</f>
        <v>4</v>
      </c>
      <c r="G170" s="31">
        <f>'декабрь 2014г. по 6-10'!G170+'декабрь 2014г. по 0,4'!G167</f>
        <v>34</v>
      </c>
      <c r="H170" s="31">
        <f>'декабрь 2014г. по 6-10'!H170+'декабрь 2014г. по 0,4'!H167</f>
        <v>0</v>
      </c>
      <c r="I170" s="31">
        <f>'декабрь 2014г. по 6-10'!I170+'декабрь 2014г. по 0,4'!I167</f>
        <v>0</v>
      </c>
      <c r="J170" s="31">
        <f>'декабрь 2014г. по 6-10'!J170+'декабрь 2014г. по 0,4'!J167</f>
        <v>8</v>
      </c>
      <c r="K170" s="31">
        <f>'декабрь 2014г. по 6-10'!K170+'декабрь 2014г. по 0,4'!K167</f>
        <v>220</v>
      </c>
      <c r="L170" s="31">
        <f>'декабрь 2014г. по 6-10'!L170+'декабрь 2014г. по 0,4'!L167</f>
        <v>0</v>
      </c>
      <c r="M170" s="31">
        <f>'декабрь 2014г. по 6-10'!M170+'декабрь 2014г. по 0,4'!M167</f>
        <v>0</v>
      </c>
      <c r="N170" s="31">
        <f>'декабрь 2014г. по 6-10'!N170+'декабрь 2014г. по 0,4'!N167</f>
        <v>0</v>
      </c>
      <c r="O170" s="31">
        <f>'декабрь 2014г. по 6-10'!O170+'декабрь 2014г. по 0,4'!O167</f>
        <v>0</v>
      </c>
      <c r="P170" s="31">
        <f>'декабрь 2014г. по 6-10'!P170+'декабрь 2014г. по 0,4'!P167</f>
        <v>0</v>
      </c>
      <c r="Q170" s="31">
        <f>'декабрь 2014г. по 6-10'!Q170+'декабрь 2014г. по 0,4'!Q167</f>
        <v>0</v>
      </c>
    </row>
    <row r="171" spans="1:17" ht="12.75" customHeight="1" x14ac:dyDescent="0.2">
      <c r="A171" s="18"/>
      <c r="B171" s="18"/>
      <c r="C171" s="18" t="s">
        <v>238</v>
      </c>
      <c r="D171" s="31">
        <f>'декабрь 2014г. по 6-10'!D171+'декабрь 2014г. по 0,4'!D168</f>
        <v>7</v>
      </c>
      <c r="E171" s="31">
        <f>'декабрь 2014г. по 6-10'!E171+'декабрь 2014г. по 0,4'!E168</f>
        <v>264</v>
      </c>
      <c r="F171" s="31">
        <f>'декабрь 2014г. по 6-10'!F171+'декабрь 2014г. по 0,4'!F168</f>
        <v>2</v>
      </c>
      <c r="G171" s="31">
        <f>'декабрь 2014г. по 6-10'!G171+'декабрь 2014г. по 0,4'!G168</f>
        <v>20</v>
      </c>
      <c r="H171" s="31">
        <f>'декабрь 2014г. по 6-10'!H171+'декабрь 2014г. по 0,4'!H168</f>
        <v>0</v>
      </c>
      <c r="I171" s="31">
        <f>'декабрь 2014г. по 6-10'!I171+'декабрь 2014г. по 0,4'!I168</f>
        <v>0</v>
      </c>
      <c r="J171" s="31">
        <f>'декабрь 2014г. по 6-10'!J171+'декабрь 2014г. по 0,4'!J168</f>
        <v>4</v>
      </c>
      <c r="K171" s="31">
        <f>'декабрь 2014г. по 6-10'!K171+'декабрь 2014г. по 0,4'!K168</f>
        <v>15</v>
      </c>
      <c r="L171" s="31">
        <f>'декабрь 2014г. по 6-10'!L171+'декабрь 2014г. по 0,4'!L168</f>
        <v>0</v>
      </c>
      <c r="M171" s="31">
        <f>'декабрь 2014г. по 6-10'!M171+'декабрь 2014г. по 0,4'!M168</f>
        <v>0</v>
      </c>
      <c r="N171" s="31">
        <f>'декабрь 2014г. по 6-10'!N171+'декабрь 2014г. по 0,4'!N168</f>
        <v>0</v>
      </c>
      <c r="O171" s="31">
        <f>'декабрь 2014г. по 6-10'!O171+'декабрь 2014г. по 0,4'!O168</f>
        <v>0</v>
      </c>
      <c r="P171" s="31">
        <f>'декабрь 2014г. по 6-10'!P171+'декабрь 2014г. по 0,4'!P168</f>
        <v>0</v>
      </c>
      <c r="Q171" s="31">
        <f>'декабрь 2014г. по 6-10'!Q171+'декабрь 2014г. по 0,4'!Q168</f>
        <v>0</v>
      </c>
    </row>
    <row r="172" spans="1:17" ht="12.75" customHeight="1" x14ac:dyDescent="0.2">
      <c r="A172" s="18"/>
      <c r="B172" s="18"/>
      <c r="C172" s="18" t="s">
        <v>239</v>
      </c>
      <c r="D172" s="31">
        <f>'декабрь 2014г. по 6-10'!D172+'декабрь 2014г. по 0,4'!D169</f>
        <v>2</v>
      </c>
      <c r="E172" s="31">
        <f>'декабрь 2014г. по 6-10'!E172+'декабрь 2014г. по 0,4'!E169</f>
        <v>16</v>
      </c>
      <c r="F172" s="31">
        <f>'декабрь 2014г. по 6-10'!F172+'декабрь 2014г. по 0,4'!F169</f>
        <v>2</v>
      </c>
      <c r="G172" s="31">
        <f>'декабрь 2014г. по 6-10'!G172+'декабрь 2014г. по 0,4'!G169</f>
        <v>16</v>
      </c>
      <c r="H172" s="31">
        <f>'декабрь 2014г. по 6-10'!H172+'декабрь 2014г. по 0,4'!H169</f>
        <v>0</v>
      </c>
      <c r="I172" s="31">
        <f>'декабрь 2014г. по 6-10'!I172+'декабрь 2014г. по 0,4'!I169</f>
        <v>0</v>
      </c>
      <c r="J172" s="31">
        <f>'декабрь 2014г. по 6-10'!J172+'декабрь 2014г. по 0,4'!J169</f>
        <v>2</v>
      </c>
      <c r="K172" s="31">
        <f>'декабрь 2014г. по 6-10'!K172+'декабрь 2014г. по 0,4'!K169</f>
        <v>16</v>
      </c>
      <c r="L172" s="31">
        <f>'декабрь 2014г. по 6-10'!L172+'декабрь 2014г. по 0,4'!L169</f>
        <v>0</v>
      </c>
      <c r="M172" s="31">
        <f>'декабрь 2014г. по 6-10'!M172+'декабрь 2014г. по 0,4'!M169</f>
        <v>0</v>
      </c>
      <c r="N172" s="31">
        <f>'декабрь 2014г. по 6-10'!N172+'декабрь 2014г. по 0,4'!N169</f>
        <v>0</v>
      </c>
      <c r="O172" s="31">
        <f>'декабрь 2014г. по 6-10'!O172+'декабрь 2014г. по 0,4'!O169</f>
        <v>0</v>
      </c>
      <c r="P172" s="31">
        <f>'декабрь 2014г. по 6-10'!P172+'декабрь 2014г. по 0,4'!P169</f>
        <v>0</v>
      </c>
      <c r="Q172" s="31">
        <f>'декабрь 2014г. по 6-10'!Q172+'декабрь 2014г. по 0,4'!Q169</f>
        <v>0</v>
      </c>
    </row>
    <row r="173" spans="1:17" ht="12.75" customHeight="1" x14ac:dyDescent="0.2">
      <c r="A173" s="18"/>
      <c r="B173" s="18"/>
      <c r="C173" s="18" t="s">
        <v>240</v>
      </c>
      <c r="D173" s="31">
        <f>'декабрь 2014г. по 6-10'!D173+'декабрь 2014г. по 0,4'!D170</f>
        <v>20</v>
      </c>
      <c r="E173" s="31">
        <f>'декабрь 2014г. по 6-10'!E173+'декабрь 2014г. по 0,4'!E170</f>
        <v>255</v>
      </c>
      <c r="F173" s="31">
        <f>'декабрь 2014г. по 6-10'!F173+'декабрь 2014г. по 0,4'!F170</f>
        <v>2</v>
      </c>
      <c r="G173" s="31">
        <f>'декабрь 2014г. по 6-10'!G173+'декабрь 2014г. по 0,4'!G170</f>
        <v>35</v>
      </c>
      <c r="H173" s="31">
        <f>'декабрь 2014г. по 6-10'!H173+'декабрь 2014г. по 0,4'!H170</f>
        <v>0</v>
      </c>
      <c r="I173" s="31">
        <f>'декабрь 2014г. по 6-10'!I173+'декабрь 2014г. по 0,4'!I170</f>
        <v>0</v>
      </c>
      <c r="J173" s="31">
        <f>'декабрь 2014г. по 6-10'!J173+'декабрь 2014г. по 0,4'!J170</f>
        <v>18</v>
      </c>
      <c r="K173" s="31">
        <f>'декабрь 2014г. по 6-10'!K173+'декабрь 2014г. по 0,4'!K170</f>
        <v>120</v>
      </c>
      <c r="L173" s="31">
        <f>'декабрь 2014г. по 6-10'!L173+'декабрь 2014г. по 0,4'!L170</f>
        <v>0</v>
      </c>
      <c r="M173" s="31">
        <f>'декабрь 2014г. по 6-10'!M173+'декабрь 2014г. по 0,4'!M170</f>
        <v>0</v>
      </c>
      <c r="N173" s="31">
        <f>'декабрь 2014г. по 6-10'!N173+'декабрь 2014г. по 0,4'!N170</f>
        <v>0</v>
      </c>
      <c r="O173" s="31">
        <f>'декабрь 2014г. по 6-10'!O173+'декабрь 2014г. по 0,4'!O170</f>
        <v>0</v>
      </c>
      <c r="P173" s="31">
        <f>'декабрь 2014г. по 6-10'!P173+'декабрь 2014г. по 0,4'!P170</f>
        <v>0</v>
      </c>
      <c r="Q173" s="31">
        <f>'декабрь 2014г. по 6-10'!Q173+'декабрь 2014г. по 0,4'!Q170</f>
        <v>0</v>
      </c>
    </row>
    <row r="174" spans="1:17" ht="12.75" customHeight="1" x14ac:dyDescent="0.2">
      <c r="A174" s="18"/>
      <c r="B174" s="18"/>
      <c r="C174" s="18" t="s">
        <v>241</v>
      </c>
      <c r="D174" s="31">
        <f>'декабрь 2014г. по 6-10'!D174+'декабрь 2014г. по 0,4'!D171</f>
        <v>10</v>
      </c>
      <c r="E174" s="31">
        <f>'декабрь 2014г. по 6-10'!E174+'декабрь 2014г. по 0,4'!E171</f>
        <v>54</v>
      </c>
      <c r="F174" s="31">
        <f>'декабрь 2014г. по 6-10'!F174+'декабрь 2014г. по 0,4'!F171</f>
        <v>10</v>
      </c>
      <c r="G174" s="31">
        <f>'декабрь 2014г. по 6-10'!G174+'декабрь 2014г. по 0,4'!G171</f>
        <v>54</v>
      </c>
      <c r="H174" s="31">
        <f>'декабрь 2014г. по 6-10'!H174+'декабрь 2014г. по 0,4'!H171</f>
        <v>0</v>
      </c>
      <c r="I174" s="31">
        <f>'декабрь 2014г. по 6-10'!I174+'декабрь 2014г. по 0,4'!I171</f>
        <v>0</v>
      </c>
      <c r="J174" s="31">
        <f>'декабрь 2014г. по 6-10'!J174+'декабрь 2014г. по 0,4'!J171</f>
        <v>11</v>
      </c>
      <c r="K174" s="31">
        <f>'декабрь 2014г. по 6-10'!K174+'декабрь 2014г. по 0,4'!K171</f>
        <v>66</v>
      </c>
      <c r="L174" s="31">
        <f>'декабрь 2014г. по 6-10'!L174+'декабрь 2014г. по 0,4'!L171</f>
        <v>0</v>
      </c>
      <c r="M174" s="31">
        <f>'декабрь 2014г. по 6-10'!M174+'декабрь 2014г. по 0,4'!M171</f>
        <v>0</v>
      </c>
      <c r="N174" s="31">
        <f>'декабрь 2014г. по 6-10'!N174+'декабрь 2014г. по 0,4'!N171</f>
        <v>0</v>
      </c>
      <c r="O174" s="31">
        <f>'декабрь 2014г. по 6-10'!O174+'декабрь 2014г. по 0,4'!O171</f>
        <v>0</v>
      </c>
      <c r="P174" s="31">
        <f>'декабрь 2014г. по 6-10'!P174+'декабрь 2014г. по 0,4'!P171</f>
        <v>0</v>
      </c>
      <c r="Q174" s="31">
        <f>'декабрь 2014г. по 6-10'!Q174+'декабрь 2014г. по 0,4'!Q171</f>
        <v>0</v>
      </c>
    </row>
    <row r="175" spans="1:17" ht="12.75" customHeight="1" x14ac:dyDescent="0.2">
      <c r="A175" s="18"/>
      <c r="B175" s="18"/>
      <c r="C175" s="18" t="s">
        <v>242</v>
      </c>
      <c r="D175" s="31">
        <f>'декабрь 2014г. по 6-10'!D175+'декабрь 2014г. по 0,4'!D172</f>
        <v>7</v>
      </c>
      <c r="E175" s="31">
        <f>'декабрь 2014г. по 6-10'!E175+'декабрь 2014г. по 0,4'!E172</f>
        <v>100</v>
      </c>
      <c r="F175" s="31">
        <f>'декабрь 2014г. по 6-10'!F175+'декабрь 2014г. по 0,4'!F172</f>
        <v>0</v>
      </c>
      <c r="G175" s="31">
        <f>'декабрь 2014г. по 6-10'!G175+'декабрь 2014г. по 0,4'!G172</f>
        <v>0</v>
      </c>
      <c r="H175" s="31">
        <f>'декабрь 2014г. по 6-10'!H175+'декабрь 2014г. по 0,4'!H172</f>
        <v>0</v>
      </c>
      <c r="I175" s="31">
        <f>'декабрь 2014г. по 6-10'!I175+'декабрь 2014г. по 0,4'!I172</f>
        <v>0</v>
      </c>
      <c r="J175" s="31">
        <f>'декабрь 2014г. по 6-10'!J175+'декабрь 2014г. по 0,4'!J172</f>
        <v>7</v>
      </c>
      <c r="K175" s="31">
        <f>'декабрь 2014г. по 6-10'!K175+'декабрь 2014г. по 0,4'!K172</f>
        <v>100</v>
      </c>
      <c r="L175" s="31">
        <f>'декабрь 2014г. по 6-10'!L175+'декабрь 2014г. по 0,4'!L172</f>
        <v>0</v>
      </c>
      <c r="M175" s="31">
        <f>'декабрь 2014г. по 6-10'!M175+'декабрь 2014г. по 0,4'!M172</f>
        <v>0</v>
      </c>
      <c r="N175" s="31">
        <f>'декабрь 2014г. по 6-10'!N175+'декабрь 2014г. по 0,4'!N172</f>
        <v>0</v>
      </c>
      <c r="O175" s="31">
        <f>'декабрь 2014г. по 6-10'!O175+'декабрь 2014г. по 0,4'!O172</f>
        <v>0</v>
      </c>
      <c r="P175" s="31">
        <f>'декабрь 2014г. по 6-10'!P175+'декабрь 2014г. по 0,4'!P172</f>
        <v>0</v>
      </c>
      <c r="Q175" s="31">
        <f>'декабрь 2014г. по 6-10'!Q175+'декабрь 2014г. по 0,4'!Q172</f>
        <v>0</v>
      </c>
    </row>
    <row r="176" spans="1:17" ht="12.75" customHeight="1" x14ac:dyDescent="0.2">
      <c r="A176" s="18"/>
      <c r="B176" s="18"/>
      <c r="C176" s="18" t="s">
        <v>348</v>
      </c>
      <c r="D176" s="31">
        <f>'декабрь 2014г. по 6-10'!D176+'декабрь 2014г. по 0,4'!D173</f>
        <v>5</v>
      </c>
      <c r="E176" s="31">
        <f>'декабрь 2014г. по 6-10'!E176+'декабрь 2014г. по 0,4'!E173</f>
        <v>20</v>
      </c>
      <c r="F176" s="31">
        <f>'декабрь 2014г. по 6-10'!F176+'декабрь 2014г. по 0,4'!F173</f>
        <v>0</v>
      </c>
      <c r="G176" s="31">
        <f>'декабрь 2014г. по 6-10'!G176+'декабрь 2014г. по 0,4'!G173</f>
        <v>0</v>
      </c>
      <c r="H176" s="31">
        <f>'декабрь 2014г. по 6-10'!H176+'декабрь 2014г. по 0,4'!H173</f>
        <v>0</v>
      </c>
      <c r="I176" s="31">
        <f>'декабрь 2014г. по 6-10'!I176+'декабрь 2014г. по 0,4'!I173</f>
        <v>0</v>
      </c>
      <c r="J176" s="31">
        <f>'декабрь 2014г. по 6-10'!J176+'декабрь 2014г. по 0,4'!J173</f>
        <v>5</v>
      </c>
      <c r="K176" s="31">
        <f>'декабрь 2014г. по 6-10'!K176+'декабрь 2014г. по 0,4'!K173</f>
        <v>20</v>
      </c>
      <c r="L176" s="31">
        <f>'декабрь 2014г. по 6-10'!L176+'декабрь 2014г. по 0,4'!L173</f>
        <v>0</v>
      </c>
      <c r="M176" s="31">
        <f>'декабрь 2014г. по 6-10'!M176+'декабрь 2014г. по 0,4'!M173</f>
        <v>0</v>
      </c>
      <c r="N176" s="31">
        <f>'декабрь 2014г. по 6-10'!N176+'декабрь 2014г. по 0,4'!N173</f>
        <v>0</v>
      </c>
      <c r="O176" s="31">
        <f>'декабрь 2014г. по 6-10'!O176+'декабрь 2014г. по 0,4'!O173</f>
        <v>0</v>
      </c>
      <c r="P176" s="31">
        <f>'декабрь 2014г. по 6-10'!P176+'декабрь 2014г. по 0,4'!P173</f>
        <v>0</v>
      </c>
      <c r="Q176" s="31">
        <f>'декабрь 2014г. по 6-10'!Q176+'декабрь 2014г. по 0,4'!Q173</f>
        <v>0</v>
      </c>
    </row>
    <row r="177" spans="1:17" ht="12.75" customHeight="1" x14ac:dyDescent="0.2">
      <c r="A177" s="18"/>
      <c r="B177" s="18"/>
      <c r="C177" s="18" t="s">
        <v>243</v>
      </c>
      <c r="D177" s="31">
        <f>'декабрь 2014г. по 6-10'!D177+'декабрь 2014г. по 0,4'!D174</f>
        <v>0</v>
      </c>
      <c r="E177" s="31">
        <f>'декабрь 2014г. по 6-10'!E177+'декабрь 2014г. по 0,4'!E174</f>
        <v>0</v>
      </c>
      <c r="F177" s="31">
        <f>'декабрь 2014г. по 6-10'!F177+'декабрь 2014г. по 0,4'!F174</f>
        <v>0</v>
      </c>
      <c r="G177" s="31">
        <f>'декабрь 2014г. по 6-10'!G177+'декабрь 2014г. по 0,4'!G174</f>
        <v>0</v>
      </c>
      <c r="H177" s="31">
        <f>'декабрь 2014г. по 6-10'!H177+'декабрь 2014г. по 0,4'!H174</f>
        <v>0</v>
      </c>
      <c r="I177" s="31">
        <f>'декабрь 2014г. по 6-10'!I177+'декабрь 2014г. по 0,4'!I174</f>
        <v>0</v>
      </c>
      <c r="J177" s="31">
        <f>'декабрь 2014г. по 6-10'!J177+'декабрь 2014г. по 0,4'!J174</f>
        <v>0</v>
      </c>
      <c r="K177" s="31">
        <f>'декабрь 2014г. по 6-10'!K177+'декабрь 2014г. по 0,4'!K174</f>
        <v>0</v>
      </c>
      <c r="L177" s="31">
        <f>'декабрь 2014г. по 6-10'!L177+'декабрь 2014г. по 0,4'!L174</f>
        <v>0</v>
      </c>
      <c r="M177" s="31">
        <f>'декабрь 2014г. по 6-10'!M177+'декабрь 2014г. по 0,4'!M174</f>
        <v>0</v>
      </c>
      <c r="N177" s="31">
        <f>'декабрь 2014г. по 6-10'!N177+'декабрь 2014г. по 0,4'!N174</f>
        <v>0</v>
      </c>
      <c r="O177" s="31">
        <f>'декабрь 2014г. по 6-10'!O177+'декабрь 2014г. по 0,4'!O174</f>
        <v>0</v>
      </c>
      <c r="P177" s="31">
        <f>'декабрь 2014г. по 6-10'!P177+'декабрь 2014г. по 0,4'!P174</f>
        <v>0</v>
      </c>
      <c r="Q177" s="31">
        <f>'декабрь 2014г. по 6-10'!Q177+'декабрь 2014г. по 0,4'!Q174</f>
        <v>0</v>
      </c>
    </row>
    <row r="178" spans="1:17" ht="12.75" customHeight="1" x14ac:dyDescent="0.2">
      <c r="A178" s="18"/>
      <c r="B178" s="18"/>
      <c r="C178" s="18" t="s">
        <v>349</v>
      </c>
      <c r="D178" s="31">
        <f>'декабрь 2014г. по 6-10'!D178+'декабрь 2014г. по 0,4'!D175</f>
        <v>25</v>
      </c>
      <c r="E178" s="31">
        <f>'декабрь 2014г. по 6-10'!E178+'декабрь 2014г. по 0,4'!E175</f>
        <v>443</v>
      </c>
      <c r="F178" s="31">
        <f>'декабрь 2014г. по 6-10'!F178+'декабрь 2014г. по 0,4'!F175</f>
        <v>11</v>
      </c>
      <c r="G178" s="31">
        <f>'декабрь 2014г. по 6-10'!G178+'декабрь 2014г. по 0,4'!G175</f>
        <v>148</v>
      </c>
      <c r="H178" s="31">
        <f>'декабрь 2014г. по 6-10'!H178+'декабрь 2014г. по 0,4'!H175</f>
        <v>0</v>
      </c>
      <c r="I178" s="31">
        <f>'декабрь 2014г. по 6-10'!I178+'декабрь 2014г. по 0,4'!I175</f>
        <v>0</v>
      </c>
      <c r="J178" s="31">
        <f>'декабрь 2014г. по 6-10'!J178+'декабрь 2014г. по 0,4'!J175</f>
        <v>17</v>
      </c>
      <c r="K178" s="31">
        <f>'декабрь 2014г. по 6-10'!K178+'декабрь 2014г. по 0,4'!K175</f>
        <v>240</v>
      </c>
      <c r="L178" s="31">
        <f>'декабрь 2014г. по 6-10'!L178+'декабрь 2014г. по 0,4'!L175</f>
        <v>0</v>
      </c>
      <c r="M178" s="31">
        <f>'декабрь 2014г. по 6-10'!M178+'декабрь 2014г. по 0,4'!M175</f>
        <v>0</v>
      </c>
      <c r="N178" s="31">
        <f>'декабрь 2014г. по 6-10'!N178+'декабрь 2014г. по 0,4'!N175</f>
        <v>0</v>
      </c>
      <c r="O178" s="31">
        <f>'декабрь 2014г. по 6-10'!O178+'декабрь 2014г. по 0,4'!O175</f>
        <v>0</v>
      </c>
      <c r="P178" s="31">
        <f>'декабрь 2014г. по 6-10'!P178+'декабрь 2014г. по 0,4'!P175</f>
        <v>0</v>
      </c>
      <c r="Q178" s="31">
        <f>'декабрь 2014г. по 6-10'!Q178+'декабрь 2014г. по 0,4'!Q175</f>
        <v>0</v>
      </c>
    </row>
    <row r="179" spans="1:17" ht="12.75" customHeight="1" x14ac:dyDescent="0.2">
      <c r="A179" s="18"/>
      <c r="B179" s="18"/>
      <c r="C179" s="18" t="s">
        <v>244</v>
      </c>
      <c r="D179" s="31">
        <f>'декабрь 2014г. по 6-10'!D179+'декабрь 2014г. по 0,4'!D176</f>
        <v>4</v>
      </c>
      <c r="E179" s="31">
        <f>'декабрь 2014г. по 6-10'!E179+'декабрь 2014г. по 0,4'!E176</f>
        <v>125</v>
      </c>
      <c r="F179" s="31">
        <f>'декабрь 2014г. по 6-10'!F179+'декабрь 2014г. по 0,4'!F176</f>
        <v>4</v>
      </c>
      <c r="G179" s="31">
        <f>'декабрь 2014г. по 6-10'!G179+'декабрь 2014г. по 0,4'!G176</f>
        <v>125</v>
      </c>
      <c r="H179" s="31">
        <f>'декабрь 2014г. по 6-10'!H179+'декабрь 2014г. по 0,4'!H176</f>
        <v>0</v>
      </c>
      <c r="I179" s="31">
        <f>'декабрь 2014г. по 6-10'!I179+'декабрь 2014г. по 0,4'!I176</f>
        <v>0</v>
      </c>
      <c r="J179" s="31">
        <f>'декабрь 2014г. по 6-10'!J179+'декабрь 2014г. по 0,4'!J176</f>
        <v>4</v>
      </c>
      <c r="K179" s="31">
        <f>'декабрь 2014г. по 6-10'!K179+'декабрь 2014г. по 0,4'!K176</f>
        <v>118</v>
      </c>
      <c r="L179" s="31">
        <f>'декабрь 2014г. по 6-10'!L179+'декабрь 2014г. по 0,4'!L176</f>
        <v>0</v>
      </c>
      <c r="M179" s="31">
        <f>'декабрь 2014г. по 6-10'!M179+'декабрь 2014г. по 0,4'!M176</f>
        <v>0</v>
      </c>
      <c r="N179" s="31">
        <f>'декабрь 2014г. по 6-10'!N179+'декабрь 2014г. по 0,4'!N176</f>
        <v>0</v>
      </c>
      <c r="O179" s="31">
        <f>'декабрь 2014г. по 6-10'!O179+'декабрь 2014г. по 0,4'!O176</f>
        <v>0</v>
      </c>
      <c r="P179" s="31">
        <f>'декабрь 2014г. по 6-10'!P179+'декабрь 2014г. по 0,4'!P176</f>
        <v>0</v>
      </c>
      <c r="Q179" s="31">
        <f>'декабрь 2014г. по 6-10'!Q179+'декабрь 2014г. по 0,4'!Q176</f>
        <v>0</v>
      </c>
    </row>
    <row r="180" spans="1:17" ht="12.75" customHeight="1" x14ac:dyDescent="0.2">
      <c r="A180" s="18"/>
      <c r="B180" s="18"/>
      <c r="C180" s="18" t="s">
        <v>245</v>
      </c>
      <c r="D180" s="31">
        <f>'декабрь 2014г. по 6-10'!D180+'декабрь 2014г. по 0,4'!D177</f>
        <v>4</v>
      </c>
      <c r="E180" s="31">
        <f>'декабрь 2014г. по 6-10'!E180+'декабрь 2014г. по 0,4'!E177</f>
        <v>190</v>
      </c>
      <c r="F180" s="31">
        <f>'декабрь 2014г. по 6-10'!F180+'декабрь 2014г. по 0,4'!F177</f>
        <v>4</v>
      </c>
      <c r="G180" s="31">
        <f>'декабрь 2014г. по 6-10'!G180+'декабрь 2014г. по 0,4'!G177</f>
        <v>190</v>
      </c>
      <c r="H180" s="31">
        <f>'декабрь 2014г. по 6-10'!H180+'декабрь 2014г. по 0,4'!H177</f>
        <v>0</v>
      </c>
      <c r="I180" s="31">
        <f>'декабрь 2014г. по 6-10'!I180+'декабрь 2014г. по 0,4'!I177</f>
        <v>0</v>
      </c>
      <c r="J180" s="31">
        <f>'декабрь 2014г. по 6-10'!J180+'декабрь 2014г. по 0,4'!J177</f>
        <v>4</v>
      </c>
      <c r="K180" s="31">
        <f>'декабрь 2014г. по 6-10'!K180+'декабрь 2014г. по 0,4'!K177</f>
        <v>190</v>
      </c>
      <c r="L180" s="31">
        <f>'декабрь 2014г. по 6-10'!L180+'декабрь 2014г. по 0,4'!L177</f>
        <v>0</v>
      </c>
      <c r="M180" s="31">
        <f>'декабрь 2014г. по 6-10'!M180+'декабрь 2014г. по 0,4'!M177</f>
        <v>0</v>
      </c>
      <c r="N180" s="31">
        <f>'декабрь 2014г. по 6-10'!N180+'декабрь 2014г. по 0,4'!N177</f>
        <v>0</v>
      </c>
      <c r="O180" s="31">
        <f>'декабрь 2014г. по 6-10'!O180+'декабрь 2014г. по 0,4'!O177</f>
        <v>0</v>
      </c>
      <c r="P180" s="31">
        <f>'декабрь 2014г. по 6-10'!P180+'декабрь 2014г. по 0,4'!P177</f>
        <v>0</v>
      </c>
      <c r="Q180" s="31">
        <f>'декабрь 2014г. по 6-10'!Q180+'декабрь 2014г. по 0,4'!Q177</f>
        <v>0</v>
      </c>
    </row>
    <row r="181" spans="1:17" ht="12.75" customHeight="1" x14ac:dyDescent="0.2">
      <c r="A181" s="18"/>
      <c r="B181" s="18"/>
      <c r="C181" s="18" t="s">
        <v>246</v>
      </c>
      <c r="D181" s="31">
        <f>'декабрь 2014г. по 6-10'!D181+'декабрь 2014г. по 0,4'!D178</f>
        <v>2</v>
      </c>
      <c r="E181" s="31">
        <f>'декабрь 2014г. по 6-10'!E181+'декабрь 2014г. по 0,4'!E178</f>
        <v>92</v>
      </c>
      <c r="F181" s="31">
        <f>'декабрь 2014г. по 6-10'!F181+'декабрь 2014г. по 0,4'!F178</f>
        <v>2</v>
      </c>
      <c r="G181" s="31">
        <f>'декабрь 2014г. по 6-10'!G181+'декабрь 2014г. по 0,4'!G178</f>
        <v>22</v>
      </c>
      <c r="H181" s="31">
        <f>'декабрь 2014г. по 6-10'!H181+'декабрь 2014г. по 0,4'!H178</f>
        <v>0</v>
      </c>
      <c r="I181" s="31">
        <f>'декабрь 2014г. по 6-10'!I181+'декабрь 2014г. по 0,4'!I178</f>
        <v>0</v>
      </c>
      <c r="J181" s="31">
        <f>'декабрь 2014г. по 6-10'!J181+'декабрь 2014г. по 0,4'!J178</f>
        <v>2</v>
      </c>
      <c r="K181" s="31">
        <f>'декабрь 2014г. по 6-10'!K181+'декабрь 2014г. по 0,4'!K178</f>
        <v>92</v>
      </c>
      <c r="L181" s="31">
        <f>'декабрь 2014г. по 6-10'!L181+'декабрь 2014г. по 0,4'!L178</f>
        <v>0</v>
      </c>
      <c r="M181" s="31">
        <f>'декабрь 2014г. по 6-10'!M181+'декабрь 2014г. по 0,4'!M178</f>
        <v>0</v>
      </c>
      <c r="N181" s="31">
        <f>'декабрь 2014г. по 6-10'!N181+'декабрь 2014г. по 0,4'!N178</f>
        <v>0</v>
      </c>
      <c r="O181" s="31">
        <f>'декабрь 2014г. по 6-10'!O181+'декабрь 2014г. по 0,4'!O178</f>
        <v>0</v>
      </c>
      <c r="P181" s="31">
        <f>'декабрь 2014г. по 6-10'!P181+'декабрь 2014г. по 0,4'!P178</f>
        <v>0</v>
      </c>
      <c r="Q181" s="31">
        <f>'декабрь 2014г. по 6-10'!Q181+'декабрь 2014г. по 0,4'!Q178</f>
        <v>0</v>
      </c>
    </row>
    <row r="182" spans="1:17" ht="12.75" customHeight="1" x14ac:dyDescent="0.2">
      <c r="A182" s="18"/>
      <c r="B182" s="18"/>
      <c r="C182" s="18" t="s">
        <v>247</v>
      </c>
      <c r="D182" s="31">
        <f>'декабрь 2014г. по 6-10'!D182+'декабрь 2014г. по 0,4'!D179</f>
        <v>10</v>
      </c>
      <c r="E182" s="31">
        <f>'декабрь 2014г. по 6-10'!E182+'декабрь 2014г. по 0,4'!E179</f>
        <v>132</v>
      </c>
      <c r="F182" s="31">
        <f>'декабрь 2014г. по 6-10'!F182+'декабрь 2014г. по 0,4'!F179</f>
        <v>10</v>
      </c>
      <c r="G182" s="31">
        <f>'декабрь 2014г. по 6-10'!G182+'декабрь 2014г. по 0,4'!G179</f>
        <v>72</v>
      </c>
      <c r="H182" s="31">
        <f>'декабрь 2014г. по 6-10'!H182+'декабрь 2014г. по 0,4'!H179</f>
        <v>0</v>
      </c>
      <c r="I182" s="31">
        <f>'декабрь 2014г. по 6-10'!I182+'декабрь 2014г. по 0,4'!I179</f>
        <v>0</v>
      </c>
      <c r="J182" s="31">
        <f>'декабрь 2014г. по 6-10'!J182+'декабрь 2014г. по 0,4'!J179</f>
        <v>4</v>
      </c>
      <c r="K182" s="31">
        <f>'декабрь 2014г. по 6-10'!K182+'декабрь 2014г. по 0,4'!K179</f>
        <v>85</v>
      </c>
      <c r="L182" s="31">
        <f>'декабрь 2014г. по 6-10'!L182+'декабрь 2014г. по 0,4'!L179</f>
        <v>0</v>
      </c>
      <c r="M182" s="31">
        <f>'декабрь 2014г. по 6-10'!M182+'декабрь 2014г. по 0,4'!M179</f>
        <v>0</v>
      </c>
      <c r="N182" s="31">
        <f>'декабрь 2014г. по 6-10'!N182+'декабрь 2014г. по 0,4'!N179</f>
        <v>0</v>
      </c>
      <c r="O182" s="31">
        <f>'декабрь 2014г. по 6-10'!O182+'декабрь 2014г. по 0,4'!O179</f>
        <v>0</v>
      </c>
      <c r="P182" s="31">
        <f>'декабрь 2014г. по 6-10'!P182+'декабрь 2014г. по 0,4'!P179</f>
        <v>0</v>
      </c>
      <c r="Q182" s="31">
        <f>'декабрь 2014г. по 6-10'!Q182+'декабрь 2014г. по 0,4'!Q179</f>
        <v>0</v>
      </c>
    </row>
    <row r="183" spans="1:17" ht="12.75" customHeight="1" x14ac:dyDescent="0.2">
      <c r="A183" s="18"/>
      <c r="B183" s="18"/>
      <c r="C183" s="18" t="s">
        <v>249</v>
      </c>
      <c r="D183" s="31">
        <f>'декабрь 2014г. по 6-10'!D183+'декабрь 2014г. по 0,4'!D180</f>
        <v>2</v>
      </c>
      <c r="E183" s="31">
        <f>'декабрь 2014г. по 6-10'!E183+'декабрь 2014г. по 0,4'!E180</f>
        <v>120</v>
      </c>
      <c r="F183" s="31">
        <f>'декабрь 2014г. по 6-10'!F183+'декабрь 2014г. по 0,4'!F180</f>
        <v>2</v>
      </c>
      <c r="G183" s="31">
        <f>'декабрь 2014г. по 6-10'!G183+'декабрь 2014г. по 0,4'!G180</f>
        <v>20</v>
      </c>
      <c r="H183" s="31">
        <f>'декабрь 2014г. по 6-10'!H183+'декабрь 2014г. по 0,4'!H180</f>
        <v>0</v>
      </c>
      <c r="I183" s="31">
        <f>'декабрь 2014г. по 6-10'!I183+'декабрь 2014г. по 0,4'!I180</f>
        <v>0</v>
      </c>
      <c r="J183" s="31">
        <f>'декабрь 2014г. по 6-10'!J183+'декабрь 2014г. по 0,4'!J180</f>
        <v>2</v>
      </c>
      <c r="K183" s="31">
        <f>'декабрь 2014г. по 6-10'!K183+'декабрь 2014г. по 0,4'!K180</f>
        <v>120</v>
      </c>
      <c r="L183" s="31">
        <f>'декабрь 2014г. по 6-10'!L183+'декабрь 2014г. по 0,4'!L180</f>
        <v>0</v>
      </c>
      <c r="M183" s="31">
        <f>'декабрь 2014г. по 6-10'!M183+'декабрь 2014г. по 0,4'!M180</f>
        <v>0</v>
      </c>
      <c r="N183" s="31">
        <f>'декабрь 2014г. по 6-10'!N183+'декабрь 2014г. по 0,4'!N180</f>
        <v>0</v>
      </c>
      <c r="O183" s="31">
        <f>'декабрь 2014г. по 6-10'!O183+'декабрь 2014г. по 0,4'!O180</f>
        <v>0</v>
      </c>
      <c r="P183" s="31">
        <f>'декабрь 2014г. по 6-10'!P183+'декабрь 2014г. по 0,4'!P180</f>
        <v>0</v>
      </c>
      <c r="Q183" s="31">
        <f>'декабрь 2014г. по 6-10'!Q183+'декабрь 2014г. по 0,4'!Q180</f>
        <v>0</v>
      </c>
    </row>
    <row r="184" spans="1:17" ht="12.75" customHeight="1" x14ac:dyDescent="0.2">
      <c r="A184" s="18"/>
      <c r="B184" s="18"/>
      <c r="C184" s="54" t="s">
        <v>248</v>
      </c>
      <c r="D184" s="31">
        <f>'декабрь 2014г. по 6-10'!D184+'декабрь 2014г. по 0,4'!D181</f>
        <v>17</v>
      </c>
      <c r="E184" s="31">
        <f>'декабрь 2014г. по 6-10'!E184+'декабрь 2014г. по 0,4'!E181</f>
        <v>153</v>
      </c>
      <c r="F184" s="31">
        <f>'декабрь 2014г. по 6-10'!F184+'декабрь 2014г. по 0,4'!F181</f>
        <v>11</v>
      </c>
      <c r="G184" s="31">
        <f>'декабрь 2014г. по 6-10'!G184+'декабрь 2014г. по 0,4'!G181</f>
        <v>153</v>
      </c>
      <c r="H184" s="31">
        <f>'декабрь 2014г. по 6-10'!H184+'декабрь 2014г. по 0,4'!H181</f>
        <v>0</v>
      </c>
      <c r="I184" s="31">
        <f>'декабрь 2014г. по 6-10'!I184+'декабрь 2014г. по 0,4'!I181</f>
        <v>0</v>
      </c>
      <c r="J184" s="31">
        <f>'декабрь 2014г. по 6-10'!J184+'декабрь 2014г. по 0,4'!J181</f>
        <v>3</v>
      </c>
      <c r="K184" s="31">
        <f>'декабрь 2014г. по 6-10'!K184+'декабрь 2014г. по 0,4'!K181</f>
        <v>70</v>
      </c>
      <c r="L184" s="31">
        <f>'декабрь 2014г. по 6-10'!L184+'декабрь 2014г. по 0,4'!L181</f>
        <v>0</v>
      </c>
      <c r="M184" s="31">
        <f>'декабрь 2014г. по 6-10'!M184+'декабрь 2014г. по 0,4'!M181</f>
        <v>0</v>
      </c>
      <c r="N184" s="31">
        <f>'декабрь 2014г. по 6-10'!N184+'декабрь 2014г. по 0,4'!N181</f>
        <v>0</v>
      </c>
      <c r="O184" s="31">
        <f>'декабрь 2014г. по 6-10'!O184+'декабрь 2014г. по 0,4'!O181</f>
        <v>0</v>
      </c>
      <c r="P184" s="31">
        <f>'декабрь 2014г. по 6-10'!P184+'декабрь 2014г. по 0,4'!P181</f>
        <v>0</v>
      </c>
      <c r="Q184" s="31">
        <f>'декабрь 2014г. по 6-10'!Q184+'декабрь 2014г. по 0,4'!Q181</f>
        <v>0</v>
      </c>
    </row>
    <row r="185" spans="1:17" ht="12.75" customHeight="1" x14ac:dyDescent="0.2">
      <c r="A185" s="18"/>
      <c r="B185" s="18"/>
      <c r="C185" s="20" t="s">
        <v>30</v>
      </c>
      <c r="D185" s="68">
        <f>SUM(D155:D184)</f>
        <v>389</v>
      </c>
      <c r="E185" s="68">
        <f t="shared" ref="E185:Q185" si="3">SUM(E155:E184)</f>
        <v>10861.4</v>
      </c>
      <c r="F185" s="68">
        <f t="shared" si="3"/>
        <v>201</v>
      </c>
      <c r="G185" s="68">
        <f t="shared" si="3"/>
        <v>5795</v>
      </c>
      <c r="H185" s="68">
        <f t="shared" si="3"/>
        <v>0</v>
      </c>
      <c r="I185" s="68">
        <f t="shared" si="3"/>
        <v>0</v>
      </c>
      <c r="J185" s="68">
        <f t="shared" si="3"/>
        <v>262</v>
      </c>
      <c r="K185" s="68">
        <f t="shared" si="3"/>
        <v>3886</v>
      </c>
      <c r="L185" s="68">
        <f t="shared" si="3"/>
        <v>0</v>
      </c>
      <c r="M185" s="68">
        <f t="shared" si="3"/>
        <v>0</v>
      </c>
      <c r="N185" s="68">
        <f t="shared" si="3"/>
        <v>0</v>
      </c>
      <c r="O185" s="68">
        <f t="shared" si="3"/>
        <v>0</v>
      </c>
      <c r="P185" s="68">
        <f t="shared" si="3"/>
        <v>0</v>
      </c>
      <c r="Q185" s="68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47"/>
      <c r="I186" s="47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">
      <c r="A187" s="18"/>
      <c r="B187" s="53"/>
      <c r="C187" s="57" t="s">
        <v>251</v>
      </c>
      <c r="D187" s="31">
        <f>'декабрь 2014г. по 6-10'!D187+'декабрь 2014г. по 0,4'!D184</f>
        <v>76</v>
      </c>
      <c r="E187" s="31">
        <f>'декабрь 2014г. по 6-10'!E187+'декабрь 2014г. по 0,4'!E184</f>
        <v>536</v>
      </c>
      <c r="F187" s="31">
        <f>'декабрь 2014г. по 6-10'!F187+'декабрь 2014г. по 0,4'!F184</f>
        <v>31</v>
      </c>
      <c r="G187" s="31">
        <f>'декабрь 2014г. по 6-10'!G187+'декабрь 2014г. по 0,4'!G184</f>
        <v>155</v>
      </c>
      <c r="H187" s="31">
        <f>'декабрь 2014г. по 6-10'!H187+'декабрь 2014г. по 0,4'!H184</f>
        <v>0</v>
      </c>
      <c r="I187" s="31">
        <f>'декабрь 2014г. по 6-10'!I187+'декабрь 2014г. по 0,4'!I184</f>
        <v>0</v>
      </c>
      <c r="J187" s="31">
        <f>'декабрь 2014г. по 6-10'!J187+'декабрь 2014г. по 0,4'!J184</f>
        <v>61</v>
      </c>
      <c r="K187" s="31">
        <f>'декабрь 2014г. по 6-10'!K187+'декабрь 2014г. по 0,4'!K184</f>
        <v>220</v>
      </c>
      <c r="L187" s="31">
        <f>'декабрь 2014г. по 6-10'!L187+'декабрь 2014г. по 0,4'!L184</f>
        <v>0</v>
      </c>
      <c r="M187" s="31">
        <f>'декабрь 2014г. по 6-10'!M187+'декабрь 2014г. по 0,4'!M184</f>
        <v>0</v>
      </c>
      <c r="N187" s="31">
        <f>'декабрь 2014г. по 6-10'!N187+'декабрь 2014г. по 0,4'!N184</f>
        <v>0</v>
      </c>
      <c r="O187" s="31">
        <f>'декабрь 2014г. по 6-10'!O187+'декабрь 2014г. по 0,4'!O184</f>
        <v>0</v>
      </c>
      <c r="P187" s="31">
        <f>'декабрь 2014г. по 6-10'!P187+'декабрь 2014г. по 0,4'!P184</f>
        <v>0</v>
      </c>
      <c r="Q187" s="31">
        <f>'декабрь 2014г. по 6-10'!Q187+'декабрь 2014г. по 0,4'!Q184</f>
        <v>0</v>
      </c>
    </row>
    <row r="188" spans="1:17" ht="12.75" customHeight="1" x14ac:dyDescent="0.2">
      <c r="A188" s="18"/>
      <c r="B188" s="53"/>
      <c r="C188" s="50" t="s">
        <v>252</v>
      </c>
      <c r="D188" s="31">
        <f>'декабрь 2014г. по 6-10'!D188+'декабрь 2014г. по 0,4'!D185</f>
        <v>49</v>
      </c>
      <c r="E188" s="31">
        <f>'декабрь 2014г. по 6-10'!E188+'декабрь 2014г. по 0,4'!E185</f>
        <v>188</v>
      </c>
      <c r="F188" s="31">
        <f>'декабрь 2014г. по 6-10'!F188+'декабрь 2014г. по 0,4'!F185</f>
        <v>9</v>
      </c>
      <c r="G188" s="31">
        <f>'декабрь 2014г. по 6-10'!G188+'декабрь 2014г. по 0,4'!G185</f>
        <v>55</v>
      </c>
      <c r="H188" s="31">
        <f>'декабрь 2014г. по 6-10'!H188+'декабрь 2014г. по 0,4'!H185</f>
        <v>0</v>
      </c>
      <c r="I188" s="31">
        <f>'декабрь 2014г. по 6-10'!I188+'декабрь 2014г. по 0,4'!I185</f>
        <v>0</v>
      </c>
      <c r="J188" s="31">
        <f>'декабрь 2014г. по 6-10'!J188+'декабрь 2014г. по 0,4'!J185</f>
        <v>41</v>
      </c>
      <c r="K188" s="31">
        <f>'декабрь 2014г. по 6-10'!K188+'декабрь 2014г. по 0,4'!K185</f>
        <v>175</v>
      </c>
      <c r="L188" s="31">
        <f>'декабрь 2014г. по 6-10'!L188+'декабрь 2014г. по 0,4'!L185</f>
        <v>0</v>
      </c>
      <c r="M188" s="31">
        <f>'декабрь 2014г. по 6-10'!M188+'декабрь 2014г. по 0,4'!M185</f>
        <v>0</v>
      </c>
      <c r="N188" s="31">
        <f>'декабрь 2014г. по 6-10'!N188+'декабрь 2014г. по 0,4'!N185</f>
        <v>0</v>
      </c>
      <c r="O188" s="31">
        <f>'декабрь 2014г. по 6-10'!O188+'декабрь 2014г. по 0,4'!O185</f>
        <v>0</v>
      </c>
      <c r="P188" s="31">
        <f>'декабрь 2014г. по 6-10'!P188+'декабрь 2014г. по 0,4'!P185</f>
        <v>0</v>
      </c>
      <c r="Q188" s="31">
        <f>'декабрь 2014г. по 6-10'!Q188+'декабрь 2014г. по 0,4'!Q185</f>
        <v>0</v>
      </c>
    </row>
    <row r="189" spans="1:17" ht="12.75" customHeight="1" x14ac:dyDescent="0.2">
      <c r="A189" s="18"/>
      <c r="B189" s="53"/>
      <c r="C189" s="50" t="s">
        <v>253</v>
      </c>
      <c r="D189" s="31">
        <f>'декабрь 2014г. по 6-10'!D189+'декабрь 2014г. по 0,4'!D186</f>
        <v>14</v>
      </c>
      <c r="E189" s="31">
        <f>'декабрь 2014г. по 6-10'!E189+'декабрь 2014г. по 0,4'!E186</f>
        <v>90</v>
      </c>
      <c r="F189" s="31">
        <f>'декабрь 2014г. по 6-10'!F189+'декабрь 2014г. по 0,4'!F186</f>
        <v>6</v>
      </c>
      <c r="G189" s="31">
        <f>'декабрь 2014г. по 6-10'!G189+'декабрь 2014г. по 0,4'!G186</f>
        <v>63</v>
      </c>
      <c r="H189" s="31">
        <f>'декабрь 2014г. по 6-10'!H189+'декабрь 2014г. по 0,4'!H186</f>
        <v>0</v>
      </c>
      <c r="I189" s="31">
        <f>'декабрь 2014г. по 6-10'!I189+'декабрь 2014г. по 0,4'!I186</f>
        <v>0</v>
      </c>
      <c r="J189" s="31">
        <f>'декабрь 2014г. по 6-10'!J189+'декабрь 2014г. по 0,4'!J186</f>
        <v>14</v>
      </c>
      <c r="K189" s="31">
        <f>'декабрь 2014г. по 6-10'!K189+'декабрь 2014г. по 0,4'!K186</f>
        <v>90</v>
      </c>
      <c r="L189" s="31">
        <f>'декабрь 2014г. по 6-10'!L189+'декабрь 2014г. по 0,4'!L186</f>
        <v>0</v>
      </c>
      <c r="M189" s="31">
        <f>'декабрь 2014г. по 6-10'!M189+'декабрь 2014г. по 0,4'!M186</f>
        <v>0</v>
      </c>
      <c r="N189" s="31">
        <f>'декабрь 2014г. по 6-10'!N189+'декабрь 2014г. по 0,4'!N186</f>
        <v>0</v>
      </c>
      <c r="O189" s="31">
        <f>'декабрь 2014г. по 6-10'!O189+'декабрь 2014г. по 0,4'!O186</f>
        <v>0</v>
      </c>
      <c r="P189" s="31">
        <f>'декабрь 2014г. по 6-10'!P189+'декабрь 2014г. по 0,4'!P186</f>
        <v>0</v>
      </c>
      <c r="Q189" s="31">
        <f>'декабрь 2014г. по 6-10'!Q189+'декабрь 2014г. по 0,4'!Q186</f>
        <v>0</v>
      </c>
    </row>
    <row r="190" spans="1:17" ht="12.75" customHeight="1" x14ac:dyDescent="0.2">
      <c r="A190" s="18"/>
      <c r="B190" s="53"/>
      <c r="C190" s="50" t="s">
        <v>254</v>
      </c>
      <c r="D190" s="31">
        <f>'декабрь 2014г. по 6-10'!D190+'декабрь 2014г. по 0,4'!D187</f>
        <v>8</v>
      </c>
      <c r="E190" s="31">
        <f>'декабрь 2014г. по 6-10'!E190+'декабрь 2014г. по 0,4'!E187</f>
        <v>80</v>
      </c>
      <c r="F190" s="31">
        <f>'декабрь 2014г. по 6-10'!F190+'декабрь 2014г. по 0,4'!F187</f>
        <v>7</v>
      </c>
      <c r="G190" s="31">
        <f>'декабрь 2014г. по 6-10'!G190+'декабрь 2014г. по 0,4'!G187</f>
        <v>45</v>
      </c>
      <c r="H190" s="31">
        <f>'декабрь 2014г. по 6-10'!H190+'декабрь 2014г. по 0,4'!H187</f>
        <v>0</v>
      </c>
      <c r="I190" s="31">
        <f>'декабрь 2014г. по 6-10'!I190+'декабрь 2014г. по 0,4'!I187</f>
        <v>0</v>
      </c>
      <c r="J190" s="31">
        <f>'декабрь 2014г. по 6-10'!J190+'декабрь 2014г. по 0,4'!J187</f>
        <v>8</v>
      </c>
      <c r="K190" s="31">
        <f>'декабрь 2014г. по 6-10'!K190+'декабрь 2014г. по 0,4'!K187</f>
        <v>80</v>
      </c>
      <c r="L190" s="31">
        <f>'декабрь 2014г. по 6-10'!L190+'декабрь 2014г. по 0,4'!L187</f>
        <v>0</v>
      </c>
      <c r="M190" s="31">
        <f>'декабрь 2014г. по 6-10'!M190+'декабрь 2014г. по 0,4'!M187</f>
        <v>0</v>
      </c>
      <c r="N190" s="31">
        <f>'декабрь 2014г. по 6-10'!N190+'декабрь 2014г. по 0,4'!N187</f>
        <v>0</v>
      </c>
      <c r="O190" s="31">
        <f>'декабрь 2014г. по 6-10'!O190+'декабрь 2014г. по 0,4'!O187</f>
        <v>0</v>
      </c>
      <c r="P190" s="31">
        <f>'декабрь 2014г. по 6-10'!P190+'декабрь 2014г. по 0,4'!P187</f>
        <v>0</v>
      </c>
      <c r="Q190" s="31">
        <f>'декабрь 2014г. по 6-10'!Q190+'декабрь 2014г. по 0,4'!Q187</f>
        <v>0</v>
      </c>
    </row>
    <row r="191" spans="1:17" ht="12.75" customHeight="1" x14ac:dyDescent="0.2">
      <c r="A191" s="18"/>
      <c r="B191" s="53"/>
      <c r="C191" s="50" t="s">
        <v>255</v>
      </c>
      <c r="D191" s="31">
        <f>'декабрь 2014г. по 6-10'!D191+'декабрь 2014г. по 0,4'!D188</f>
        <v>9</v>
      </c>
      <c r="E191" s="31">
        <f>'декабрь 2014г. по 6-10'!E191+'декабрь 2014г. по 0,4'!E188</f>
        <v>93</v>
      </c>
      <c r="F191" s="31">
        <f>'декабрь 2014г. по 6-10'!F191+'декабрь 2014г. по 0,4'!F188</f>
        <v>7</v>
      </c>
      <c r="G191" s="31">
        <f>'декабрь 2014г. по 6-10'!G191+'декабрь 2014г. по 0,4'!G188</f>
        <v>65</v>
      </c>
      <c r="H191" s="31">
        <f>'декабрь 2014г. по 6-10'!H191+'декабрь 2014г. по 0,4'!H188</f>
        <v>0</v>
      </c>
      <c r="I191" s="31">
        <f>'декабрь 2014г. по 6-10'!I191+'декабрь 2014г. по 0,4'!I188</f>
        <v>0</v>
      </c>
      <c r="J191" s="31">
        <f>'декабрь 2014г. по 6-10'!J191+'декабрь 2014г. по 0,4'!J188</f>
        <v>9</v>
      </c>
      <c r="K191" s="31">
        <f>'декабрь 2014г. по 6-10'!K191+'декабрь 2014г. по 0,4'!K188</f>
        <v>93</v>
      </c>
      <c r="L191" s="31">
        <f>'декабрь 2014г. по 6-10'!L191+'декабрь 2014г. по 0,4'!L188</f>
        <v>0</v>
      </c>
      <c r="M191" s="31">
        <f>'декабрь 2014г. по 6-10'!M191+'декабрь 2014г. по 0,4'!M188</f>
        <v>0</v>
      </c>
      <c r="N191" s="31">
        <f>'декабрь 2014г. по 6-10'!N191+'декабрь 2014г. по 0,4'!N188</f>
        <v>0</v>
      </c>
      <c r="O191" s="31">
        <f>'декабрь 2014г. по 6-10'!O191+'декабрь 2014г. по 0,4'!O188</f>
        <v>0</v>
      </c>
      <c r="P191" s="31">
        <f>'декабрь 2014г. по 6-10'!P191+'декабрь 2014г. по 0,4'!P188</f>
        <v>0</v>
      </c>
      <c r="Q191" s="31">
        <f>'декабрь 2014г. по 6-10'!Q191+'декабрь 2014г. по 0,4'!Q188</f>
        <v>0</v>
      </c>
    </row>
    <row r="192" spans="1:17" ht="12.75" customHeight="1" x14ac:dyDescent="0.2">
      <c r="A192" s="18"/>
      <c r="B192" s="53"/>
      <c r="C192" s="50" t="s">
        <v>256</v>
      </c>
      <c r="D192" s="31">
        <f>'декабрь 2014г. по 6-10'!D192+'декабрь 2014г. по 0,4'!D189</f>
        <v>5</v>
      </c>
      <c r="E192" s="31">
        <f>'декабрь 2014г. по 6-10'!E192+'декабрь 2014г. по 0,4'!E189</f>
        <v>20</v>
      </c>
      <c r="F192" s="31">
        <f>'декабрь 2014г. по 6-10'!F192+'декабрь 2014г. по 0,4'!F189</f>
        <v>5</v>
      </c>
      <c r="G192" s="31">
        <f>'декабрь 2014г. по 6-10'!G192+'декабрь 2014г. по 0,4'!G189</f>
        <v>20</v>
      </c>
      <c r="H192" s="31">
        <f>'декабрь 2014г. по 6-10'!H192+'декабрь 2014г. по 0,4'!H189</f>
        <v>0</v>
      </c>
      <c r="I192" s="31">
        <f>'декабрь 2014г. по 6-10'!I192+'декабрь 2014г. по 0,4'!I189</f>
        <v>0</v>
      </c>
      <c r="J192" s="31">
        <f>'декабрь 2014г. по 6-10'!J192+'декабрь 2014г. по 0,4'!J189</f>
        <v>5</v>
      </c>
      <c r="K192" s="31">
        <f>'декабрь 2014г. по 6-10'!K192+'декабрь 2014г. по 0,4'!K189</f>
        <v>20</v>
      </c>
      <c r="L192" s="31">
        <f>'декабрь 2014г. по 6-10'!L192+'декабрь 2014г. по 0,4'!L189</f>
        <v>0</v>
      </c>
      <c r="M192" s="31">
        <f>'декабрь 2014г. по 6-10'!M192+'декабрь 2014г. по 0,4'!M189</f>
        <v>0</v>
      </c>
      <c r="N192" s="31">
        <f>'декабрь 2014г. по 6-10'!N192+'декабрь 2014г. по 0,4'!N189</f>
        <v>0</v>
      </c>
      <c r="O192" s="31">
        <f>'декабрь 2014г. по 6-10'!O192+'декабрь 2014г. по 0,4'!O189</f>
        <v>0</v>
      </c>
      <c r="P192" s="31">
        <f>'декабрь 2014г. по 6-10'!P192+'декабрь 2014г. по 0,4'!P189</f>
        <v>0</v>
      </c>
      <c r="Q192" s="31">
        <f>'декабрь 2014г. по 6-10'!Q192+'декабрь 2014г. по 0,4'!Q189</f>
        <v>0</v>
      </c>
    </row>
    <row r="193" spans="1:17" ht="12.75" customHeight="1" x14ac:dyDescent="0.2">
      <c r="A193" s="18"/>
      <c r="B193" s="53"/>
      <c r="C193" s="50" t="s">
        <v>257</v>
      </c>
      <c r="D193" s="31">
        <f>'декабрь 2014г. по 6-10'!D193+'декабрь 2014г. по 0,4'!D190</f>
        <v>11</v>
      </c>
      <c r="E193" s="31">
        <f>'декабрь 2014г. по 6-10'!E193+'декабрь 2014г. по 0,4'!E190</f>
        <v>70</v>
      </c>
      <c r="F193" s="31">
        <f>'декабрь 2014г. по 6-10'!F193+'декабрь 2014г. по 0,4'!F190</f>
        <v>7</v>
      </c>
      <c r="G193" s="31">
        <f>'декабрь 2014г. по 6-10'!G193+'декабрь 2014г. по 0,4'!G190</f>
        <v>55</v>
      </c>
      <c r="H193" s="31">
        <f>'декабрь 2014г. по 6-10'!H193+'декабрь 2014г. по 0,4'!H190</f>
        <v>0</v>
      </c>
      <c r="I193" s="31">
        <f>'декабрь 2014г. по 6-10'!I193+'декабрь 2014г. по 0,4'!I190</f>
        <v>0</v>
      </c>
      <c r="J193" s="31">
        <f>'декабрь 2014г. по 6-10'!J193+'декабрь 2014г. по 0,4'!J190</f>
        <v>11</v>
      </c>
      <c r="K193" s="31">
        <f>'декабрь 2014г. по 6-10'!K193+'декабрь 2014г. по 0,4'!K190</f>
        <v>70</v>
      </c>
      <c r="L193" s="31">
        <f>'декабрь 2014г. по 6-10'!L193+'декабрь 2014г. по 0,4'!L190</f>
        <v>0</v>
      </c>
      <c r="M193" s="31">
        <f>'декабрь 2014г. по 6-10'!M193+'декабрь 2014г. по 0,4'!M190</f>
        <v>0</v>
      </c>
      <c r="N193" s="31">
        <f>'декабрь 2014г. по 6-10'!N193+'декабрь 2014г. по 0,4'!N190</f>
        <v>0</v>
      </c>
      <c r="O193" s="31">
        <f>'декабрь 2014г. по 6-10'!O193+'декабрь 2014г. по 0,4'!O190</f>
        <v>0</v>
      </c>
      <c r="P193" s="31">
        <f>'декабрь 2014г. по 6-10'!P193+'декабрь 2014г. по 0,4'!P190</f>
        <v>0</v>
      </c>
      <c r="Q193" s="31">
        <f>'декабрь 2014г. по 6-10'!Q193+'декабрь 2014г. по 0,4'!Q190</f>
        <v>0</v>
      </c>
    </row>
    <row r="194" spans="1:17" ht="12.75" customHeight="1" x14ac:dyDescent="0.2">
      <c r="A194" s="18"/>
      <c r="B194" s="53"/>
      <c r="C194" s="50" t="s">
        <v>258</v>
      </c>
      <c r="D194" s="31">
        <f>'декабрь 2014г. по 6-10'!D194+'декабрь 2014г. по 0,4'!D191</f>
        <v>4</v>
      </c>
      <c r="E194" s="31">
        <f>'декабрь 2014г. по 6-10'!E194+'декабрь 2014г. по 0,4'!E191</f>
        <v>30</v>
      </c>
      <c r="F194" s="31">
        <f>'декабрь 2014г. по 6-10'!F194+'декабрь 2014г. по 0,4'!F191</f>
        <v>4</v>
      </c>
      <c r="G194" s="31">
        <f>'декабрь 2014г. по 6-10'!G194+'декабрь 2014г. по 0,4'!G191</f>
        <v>30</v>
      </c>
      <c r="H194" s="31">
        <f>'декабрь 2014г. по 6-10'!H194+'декабрь 2014г. по 0,4'!H191</f>
        <v>0</v>
      </c>
      <c r="I194" s="31">
        <f>'декабрь 2014г. по 6-10'!I194+'декабрь 2014г. по 0,4'!I191</f>
        <v>0</v>
      </c>
      <c r="J194" s="31">
        <f>'декабрь 2014г. по 6-10'!J194+'декабрь 2014г. по 0,4'!J191</f>
        <v>4</v>
      </c>
      <c r="K194" s="31">
        <f>'декабрь 2014г. по 6-10'!K194+'декабрь 2014г. по 0,4'!K191</f>
        <v>30</v>
      </c>
      <c r="L194" s="31">
        <f>'декабрь 2014г. по 6-10'!L194+'декабрь 2014г. по 0,4'!L191</f>
        <v>0</v>
      </c>
      <c r="M194" s="31">
        <f>'декабрь 2014г. по 6-10'!M194+'декабрь 2014г. по 0,4'!M191</f>
        <v>0</v>
      </c>
      <c r="N194" s="31">
        <f>'декабрь 2014г. по 6-10'!N194+'декабрь 2014г. по 0,4'!N191</f>
        <v>0</v>
      </c>
      <c r="O194" s="31">
        <f>'декабрь 2014г. по 6-10'!O194+'декабрь 2014г. по 0,4'!O191</f>
        <v>0</v>
      </c>
      <c r="P194" s="31">
        <f>'декабрь 2014г. по 6-10'!P194+'декабрь 2014г. по 0,4'!P191</f>
        <v>0</v>
      </c>
      <c r="Q194" s="31">
        <f>'декабрь 2014г. по 6-10'!Q194+'декабрь 2014г. по 0,4'!Q191</f>
        <v>0</v>
      </c>
    </row>
    <row r="195" spans="1:17" ht="12.75" customHeight="1" x14ac:dyDescent="0.2">
      <c r="A195" s="18"/>
      <c r="B195" s="53"/>
      <c r="C195" s="20" t="s">
        <v>30</v>
      </c>
      <c r="D195" s="68">
        <f>SUM(D187:D194)</f>
        <v>176</v>
      </c>
      <c r="E195" s="68">
        <f t="shared" ref="E195:Q195" si="4">SUM(E187:E194)</f>
        <v>1107</v>
      </c>
      <c r="F195" s="68">
        <f t="shared" si="4"/>
        <v>76</v>
      </c>
      <c r="G195" s="68">
        <f t="shared" si="4"/>
        <v>488</v>
      </c>
      <c r="H195" s="68">
        <f t="shared" si="4"/>
        <v>0</v>
      </c>
      <c r="I195" s="68">
        <f t="shared" si="4"/>
        <v>0</v>
      </c>
      <c r="J195" s="68">
        <f t="shared" si="4"/>
        <v>153</v>
      </c>
      <c r="K195" s="68">
        <f t="shared" si="4"/>
        <v>778</v>
      </c>
      <c r="L195" s="68">
        <f t="shared" si="4"/>
        <v>0</v>
      </c>
      <c r="M195" s="68">
        <f t="shared" si="4"/>
        <v>0</v>
      </c>
      <c r="N195" s="68">
        <f t="shared" si="4"/>
        <v>0</v>
      </c>
      <c r="O195" s="68">
        <f t="shared" si="4"/>
        <v>0</v>
      </c>
      <c r="P195" s="68">
        <f t="shared" si="4"/>
        <v>0</v>
      </c>
      <c r="Q195" s="68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47"/>
      <c r="I196" s="47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">
      <c r="A197" s="18"/>
      <c r="B197" s="53"/>
      <c r="C197" s="50" t="s">
        <v>260</v>
      </c>
      <c r="D197" s="31">
        <f>'декабрь 2014г. по 6-10'!D197+'декабрь 2014г. по 0,4'!D194</f>
        <v>45</v>
      </c>
      <c r="E197" s="31">
        <f>'декабрь 2014г. по 6-10'!E197+'декабрь 2014г. по 0,4'!E194</f>
        <v>1072</v>
      </c>
      <c r="F197" s="31">
        <f>'декабрь 2014г. по 6-10'!F197+'декабрь 2014г. по 0,4'!F194</f>
        <v>18</v>
      </c>
      <c r="G197" s="31">
        <f>'декабрь 2014г. по 6-10'!G197+'декабрь 2014г. по 0,4'!G194</f>
        <v>452</v>
      </c>
      <c r="H197" s="31">
        <f>'декабрь 2014г. по 6-10'!H197+'декабрь 2014г. по 0,4'!H194</f>
        <v>0</v>
      </c>
      <c r="I197" s="31">
        <f>'декабрь 2014г. по 6-10'!I197+'декабрь 2014г. по 0,4'!I194</f>
        <v>0</v>
      </c>
      <c r="J197" s="31">
        <f>'декабрь 2014г. по 6-10'!J197+'декабрь 2014г. по 0,4'!J194</f>
        <v>27</v>
      </c>
      <c r="K197" s="31">
        <f>'декабрь 2014г. по 6-10'!K197+'декабрь 2014г. по 0,4'!K194</f>
        <v>408</v>
      </c>
      <c r="L197" s="31">
        <f>'декабрь 2014г. по 6-10'!L197+'декабрь 2014г. по 0,4'!L194</f>
        <v>0</v>
      </c>
      <c r="M197" s="31">
        <f>'декабрь 2014г. по 6-10'!M197+'декабрь 2014г. по 0,4'!M194</f>
        <v>0</v>
      </c>
      <c r="N197" s="31">
        <f>'декабрь 2014г. по 6-10'!N197+'декабрь 2014г. по 0,4'!N194</f>
        <v>0</v>
      </c>
      <c r="O197" s="31">
        <f>'декабрь 2014г. по 6-10'!O197+'декабрь 2014г. по 0,4'!O194</f>
        <v>0</v>
      </c>
      <c r="P197" s="31">
        <f>'декабрь 2014г. по 6-10'!P197+'декабрь 2014г. по 0,4'!P194</f>
        <v>0</v>
      </c>
      <c r="Q197" s="31">
        <f>'декабрь 2014г. по 6-10'!Q197+'декабрь 2014г. по 0,4'!Q194</f>
        <v>0</v>
      </c>
    </row>
    <row r="198" spans="1:17" ht="12.75" customHeight="1" x14ac:dyDescent="0.2">
      <c r="A198" s="18"/>
      <c r="B198" s="53"/>
      <c r="C198" s="50" t="s">
        <v>261</v>
      </c>
      <c r="D198" s="31">
        <f>'декабрь 2014г. по 6-10'!D198+'декабрь 2014г. по 0,4'!D195</f>
        <v>17</v>
      </c>
      <c r="E198" s="31">
        <f>'декабрь 2014г. по 6-10'!E198+'декабрь 2014г. по 0,4'!E195</f>
        <v>104.25</v>
      </c>
      <c r="F198" s="31">
        <f>'декабрь 2014г. по 6-10'!F198+'декабрь 2014г. по 0,4'!F195</f>
        <v>12</v>
      </c>
      <c r="G198" s="31">
        <f>'декабрь 2014г. по 6-10'!G198+'декабрь 2014г. по 0,4'!G195</f>
        <v>104.25</v>
      </c>
      <c r="H198" s="31">
        <f>'декабрь 2014г. по 6-10'!H198+'декабрь 2014г. по 0,4'!H195</f>
        <v>0</v>
      </c>
      <c r="I198" s="31">
        <f>'декабрь 2014г. по 6-10'!I198+'декабрь 2014г. по 0,4'!I195</f>
        <v>0</v>
      </c>
      <c r="J198" s="31">
        <f>'декабрь 2014г. по 6-10'!J198+'декабрь 2014г. по 0,4'!J195</f>
        <v>17</v>
      </c>
      <c r="K198" s="31">
        <f>'декабрь 2014г. по 6-10'!K198+'декабрь 2014г. по 0,4'!K195</f>
        <v>104.25</v>
      </c>
      <c r="L198" s="31">
        <f>'декабрь 2014г. по 6-10'!L198+'декабрь 2014г. по 0,4'!L195</f>
        <v>0</v>
      </c>
      <c r="M198" s="31">
        <f>'декабрь 2014г. по 6-10'!M198+'декабрь 2014г. по 0,4'!M195</f>
        <v>0</v>
      </c>
      <c r="N198" s="31">
        <f>'декабрь 2014г. по 6-10'!N198+'декабрь 2014г. по 0,4'!N195</f>
        <v>0</v>
      </c>
      <c r="O198" s="31">
        <f>'декабрь 2014г. по 6-10'!O198+'декабрь 2014г. по 0,4'!O195</f>
        <v>0</v>
      </c>
      <c r="P198" s="31">
        <f>'декабрь 2014г. по 6-10'!P198+'декабрь 2014г. по 0,4'!P195</f>
        <v>0</v>
      </c>
      <c r="Q198" s="31">
        <f>'декабрь 2014г. по 6-10'!Q198+'декабрь 2014г. по 0,4'!Q195</f>
        <v>0</v>
      </c>
    </row>
    <row r="199" spans="1:17" ht="12.75" customHeight="1" x14ac:dyDescent="0.2">
      <c r="A199" s="18"/>
      <c r="B199" s="53"/>
      <c r="C199" s="50" t="s">
        <v>262</v>
      </c>
      <c r="D199" s="31">
        <f>'декабрь 2014г. по 6-10'!D199+'декабрь 2014г. по 0,4'!D196</f>
        <v>10</v>
      </c>
      <c r="E199" s="31">
        <f>'декабрь 2014г. по 6-10'!E199+'декабрь 2014г. по 0,4'!E196</f>
        <v>445</v>
      </c>
      <c r="F199" s="31">
        <f>'декабрь 2014г. по 6-10'!F199+'декабрь 2014г. по 0,4'!F196</f>
        <v>1</v>
      </c>
      <c r="G199" s="31">
        <f>'декабрь 2014г. по 6-10'!G199+'декабрь 2014г. по 0,4'!G196</f>
        <v>30</v>
      </c>
      <c r="H199" s="31">
        <f>'декабрь 2014г. по 6-10'!H199+'декабрь 2014г. по 0,4'!H196</f>
        <v>0</v>
      </c>
      <c r="I199" s="31">
        <f>'декабрь 2014г. по 6-10'!I199+'декабрь 2014г. по 0,4'!I196</f>
        <v>0</v>
      </c>
      <c r="J199" s="31">
        <f>'декабрь 2014г. по 6-10'!J199+'декабрь 2014г. по 0,4'!J196</f>
        <v>7</v>
      </c>
      <c r="K199" s="31">
        <f>'декабрь 2014г. по 6-10'!K199+'декабрь 2014г. по 0,4'!K196</f>
        <v>205</v>
      </c>
      <c r="L199" s="31">
        <f>'декабрь 2014г. по 6-10'!L199+'декабрь 2014г. по 0,4'!L196</f>
        <v>0</v>
      </c>
      <c r="M199" s="31">
        <f>'декабрь 2014г. по 6-10'!M199+'декабрь 2014г. по 0,4'!M196</f>
        <v>0</v>
      </c>
      <c r="N199" s="31">
        <f>'декабрь 2014г. по 6-10'!N199+'декабрь 2014г. по 0,4'!N196</f>
        <v>0</v>
      </c>
      <c r="O199" s="31">
        <f>'декабрь 2014г. по 6-10'!O199+'декабрь 2014г. по 0,4'!O196</f>
        <v>0</v>
      </c>
      <c r="P199" s="31">
        <f>'декабрь 2014г. по 6-10'!P199+'декабрь 2014г. по 0,4'!P196</f>
        <v>0</v>
      </c>
      <c r="Q199" s="31">
        <f>'декабрь 2014г. по 6-10'!Q199+'декабрь 2014г. по 0,4'!Q196</f>
        <v>0</v>
      </c>
    </row>
    <row r="200" spans="1:17" ht="12.75" customHeight="1" x14ac:dyDescent="0.2">
      <c r="A200" s="18"/>
      <c r="B200" s="53"/>
      <c r="C200" s="50" t="s">
        <v>263</v>
      </c>
      <c r="D200" s="31">
        <f>'декабрь 2014г. по 6-10'!D200+'декабрь 2014г. по 0,4'!D197</f>
        <v>9</v>
      </c>
      <c r="E200" s="31">
        <f>'декабрь 2014г. по 6-10'!E200+'декабрь 2014г. по 0,4'!E197</f>
        <v>35</v>
      </c>
      <c r="F200" s="31">
        <f>'декабрь 2014г. по 6-10'!F200+'декабрь 2014г. по 0,4'!F197</f>
        <v>5</v>
      </c>
      <c r="G200" s="31">
        <f>'декабрь 2014г. по 6-10'!G200+'декабрь 2014г. по 0,4'!G197</f>
        <v>20</v>
      </c>
      <c r="H200" s="31">
        <f>'декабрь 2014г. по 6-10'!H200+'декабрь 2014г. по 0,4'!H197</f>
        <v>0</v>
      </c>
      <c r="I200" s="31">
        <f>'декабрь 2014г. по 6-10'!I200+'декабрь 2014г. по 0,4'!I197</f>
        <v>0</v>
      </c>
      <c r="J200" s="31">
        <f>'декабрь 2014г. по 6-10'!J200+'декабрь 2014г. по 0,4'!J197</f>
        <v>9</v>
      </c>
      <c r="K200" s="31">
        <f>'декабрь 2014г. по 6-10'!K200+'декабрь 2014г. по 0,4'!K197</f>
        <v>35</v>
      </c>
      <c r="L200" s="31">
        <f>'декабрь 2014г. по 6-10'!L200+'декабрь 2014г. по 0,4'!L197</f>
        <v>0</v>
      </c>
      <c r="M200" s="31">
        <f>'декабрь 2014г. по 6-10'!M200+'декабрь 2014г. по 0,4'!M197</f>
        <v>0</v>
      </c>
      <c r="N200" s="31">
        <f>'декабрь 2014г. по 6-10'!N200+'декабрь 2014г. по 0,4'!N197</f>
        <v>0</v>
      </c>
      <c r="O200" s="31">
        <f>'декабрь 2014г. по 6-10'!O200+'декабрь 2014г. по 0,4'!O197</f>
        <v>0</v>
      </c>
      <c r="P200" s="31">
        <f>'декабрь 2014г. по 6-10'!P200+'декабрь 2014г. по 0,4'!P197</f>
        <v>0</v>
      </c>
      <c r="Q200" s="31">
        <f>'декабрь 2014г. по 6-10'!Q200+'декабрь 2014г. по 0,4'!Q197</f>
        <v>0</v>
      </c>
    </row>
    <row r="201" spans="1:17" ht="12.75" customHeight="1" x14ac:dyDescent="0.2">
      <c r="A201" s="18"/>
      <c r="B201" s="53"/>
      <c r="C201" s="50" t="s">
        <v>264</v>
      </c>
      <c r="D201" s="31">
        <f>'декабрь 2014г. по 6-10'!D201+'декабрь 2014г. по 0,4'!D198</f>
        <v>10</v>
      </c>
      <c r="E201" s="31">
        <f>'декабрь 2014г. по 6-10'!E201+'декабрь 2014г. по 0,4'!E198</f>
        <v>588</v>
      </c>
      <c r="F201" s="31">
        <f>'декабрь 2014г. по 6-10'!F201+'декабрь 2014г. по 0,4'!F198</f>
        <v>4</v>
      </c>
      <c r="G201" s="31">
        <f>'декабрь 2014г. по 6-10'!G201+'декабрь 2014г. по 0,4'!G198</f>
        <v>93</v>
      </c>
      <c r="H201" s="31">
        <f>'декабрь 2014г. по 6-10'!H201+'декабрь 2014г. по 0,4'!H198</f>
        <v>0</v>
      </c>
      <c r="I201" s="31">
        <f>'декабрь 2014г. по 6-10'!I201+'декабрь 2014г. по 0,4'!I198</f>
        <v>0</v>
      </c>
      <c r="J201" s="31">
        <f>'декабрь 2014г. по 6-10'!J201+'декабрь 2014г. по 0,4'!J198</f>
        <v>7</v>
      </c>
      <c r="K201" s="31">
        <f>'декабрь 2014г. по 6-10'!K201+'декабрь 2014г. по 0,4'!K198</f>
        <v>53</v>
      </c>
      <c r="L201" s="31">
        <f>'декабрь 2014г. по 6-10'!L201+'декабрь 2014г. по 0,4'!L198</f>
        <v>0</v>
      </c>
      <c r="M201" s="31">
        <f>'декабрь 2014г. по 6-10'!M201+'декабрь 2014г. по 0,4'!M198</f>
        <v>0</v>
      </c>
      <c r="N201" s="31">
        <f>'декабрь 2014г. по 6-10'!N201+'декабрь 2014г. по 0,4'!N198</f>
        <v>0</v>
      </c>
      <c r="O201" s="31">
        <f>'декабрь 2014г. по 6-10'!O201+'декабрь 2014г. по 0,4'!O198</f>
        <v>0</v>
      </c>
      <c r="P201" s="31">
        <f>'декабрь 2014г. по 6-10'!P201+'декабрь 2014г. по 0,4'!P198</f>
        <v>0</v>
      </c>
      <c r="Q201" s="31">
        <f>'декабрь 2014г. по 6-10'!Q201+'декабрь 2014г. по 0,4'!Q198</f>
        <v>0</v>
      </c>
    </row>
    <row r="202" spans="1:17" ht="12.75" customHeight="1" x14ac:dyDescent="0.2">
      <c r="A202" s="18"/>
      <c r="B202" s="18"/>
      <c r="C202" s="69" t="s">
        <v>30</v>
      </c>
      <c r="D202" s="68">
        <f t="shared" ref="D202:Q202" si="5">SUM(D197:D201)</f>
        <v>91</v>
      </c>
      <c r="E202" s="68">
        <f t="shared" si="5"/>
        <v>2244.25</v>
      </c>
      <c r="F202" s="68">
        <f t="shared" si="5"/>
        <v>40</v>
      </c>
      <c r="G202" s="68">
        <f t="shared" si="5"/>
        <v>699.25</v>
      </c>
      <c r="H202" s="68">
        <f t="shared" si="5"/>
        <v>0</v>
      </c>
      <c r="I202" s="68">
        <f t="shared" si="5"/>
        <v>0</v>
      </c>
      <c r="J202" s="68">
        <f t="shared" si="5"/>
        <v>67</v>
      </c>
      <c r="K202" s="68">
        <f t="shared" si="5"/>
        <v>805.25</v>
      </c>
      <c r="L202" s="68">
        <f t="shared" si="5"/>
        <v>0</v>
      </c>
      <c r="M202" s="68">
        <f t="shared" si="5"/>
        <v>0</v>
      </c>
      <c r="N202" s="68">
        <f t="shared" si="5"/>
        <v>0</v>
      </c>
      <c r="O202" s="68">
        <f t="shared" si="5"/>
        <v>0</v>
      </c>
      <c r="P202" s="68">
        <f t="shared" si="5"/>
        <v>0</v>
      </c>
      <c r="Q202" s="68">
        <f t="shared" si="5"/>
        <v>0</v>
      </c>
    </row>
    <row r="203" spans="1:17" ht="15" x14ac:dyDescent="0.25">
      <c r="A203" s="18"/>
      <c r="B203" s="18"/>
      <c r="C203" s="51" t="s">
        <v>305</v>
      </c>
      <c r="D203" s="31"/>
      <c r="E203" s="31"/>
      <c r="F203" s="31"/>
      <c r="G203" s="31"/>
      <c r="H203" s="47"/>
      <c r="I203" s="47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">
      <c r="A204" s="18"/>
      <c r="B204" s="53"/>
      <c r="C204" s="50" t="s">
        <v>266</v>
      </c>
      <c r="D204" s="31">
        <f>'декабрь 2014г. по 6-10'!D204+'декабрь 2014г. по 0,4'!D201</f>
        <v>31</v>
      </c>
      <c r="E204" s="31">
        <f>'декабрь 2014г. по 6-10'!E204+'декабрь 2014г. по 0,4'!E201</f>
        <v>456</v>
      </c>
      <c r="F204" s="31">
        <f>'декабрь 2014г. по 6-10'!F204+'декабрь 2014г. по 0,4'!F201</f>
        <v>20</v>
      </c>
      <c r="G204" s="31">
        <f>'декабрь 2014г. по 6-10'!G204+'декабрь 2014г. по 0,4'!G201</f>
        <v>100</v>
      </c>
      <c r="H204" s="31">
        <f>'декабрь 2014г. по 6-10'!H204+'декабрь 2014г. по 0,4'!H201</f>
        <v>0</v>
      </c>
      <c r="I204" s="31">
        <f>'декабрь 2014г. по 6-10'!I204+'декабрь 2014г. по 0,4'!I201</f>
        <v>0</v>
      </c>
      <c r="J204" s="31">
        <f>'декабрь 2014г. по 6-10'!J204+'декабрь 2014г. по 0,4'!J201</f>
        <v>53</v>
      </c>
      <c r="K204" s="31">
        <f>'декабрь 2014г. по 6-10'!K204+'декабрь 2014г. по 0,4'!K201</f>
        <v>570</v>
      </c>
      <c r="L204" s="31">
        <f>'декабрь 2014г. по 6-10'!L204+'декабрь 2014г. по 0,4'!L201</f>
        <v>0</v>
      </c>
      <c r="M204" s="31">
        <f>'декабрь 2014г. по 6-10'!M204+'декабрь 2014г. по 0,4'!M201</f>
        <v>0</v>
      </c>
      <c r="N204" s="31">
        <f>'декабрь 2014г. по 6-10'!N204+'декабрь 2014г. по 0,4'!N201</f>
        <v>0</v>
      </c>
      <c r="O204" s="31">
        <f>'декабрь 2014г. по 6-10'!O204+'декабрь 2014г. по 0,4'!O201</f>
        <v>0</v>
      </c>
      <c r="P204" s="31">
        <f>'декабрь 2014г. по 6-10'!P204+'декабрь 2014г. по 0,4'!P201</f>
        <v>0</v>
      </c>
      <c r="Q204" s="31">
        <f>'декабрь 2014г. по 6-10'!Q204+'декабрь 2014г. по 0,4'!Q201</f>
        <v>0</v>
      </c>
    </row>
    <row r="205" spans="1:17" ht="12.75" customHeight="1" x14ac:dyDescent="0.2">
      <c r="A205" s="18"/>
      <c r="B205" s="53"/>
      <c r="C205" s="50" t="s">
        <v>267</v>
      </c>
      <c r="D205" s="31">
        <f>'декабрь 2014г. по 6-10'!D205+'декабрь 2014г. по 0,4'!D202</f>
        <v>0</v>
      </c>
      <c r="E205" s="31">
        <f>'декабрь 2014г. по 6-10'!E205+'декабрь 2014г. по 0,4'!E202</f>
        <v>0</v>
      </c>
      <c r="F205" s="31">
        <f>'декабрь 2014г. по 6-10'!F205+'декабрь 2014г. по 0,4'!F202</f>
        <v>0</v>
      </c>
      <c r="G205" s="31">
        <f>'декабрь 2014г. по 6-10'!G205+'декабрь 2014г. по 0,4'!G202</f>
        <v>0</v>
      </c>
      <c r="H205" s="31">
        <f>'декабрь 2014г. по 6-10'!H205+'декабрь 2014г. по 0,4'!H202</f>
        <v>0</v>
      </c>
      <c r="I205" s="31">
        <f>'декабрь 2014г. по 6-10'!I205+'декабрь 2014г. по 0,4'!I202</f>
        <v>0</v>
      </c>
      <c r="J205" s="31">
        <f>'декабрь 2014г. по 6-10'!J205+'декабрь 2014г. по 0,4'!J202</f>
        <v>0</v>
      </c>
      <c r="K205" s="31">
        <f>'декабрь 2014г. по 6-10'!K205+'декабрь 2014г. по 0,4'!K202</f>
        <v>0</v>
      </c>
      <c r="L205" s="31">
        <f>'декабрь 2014г. по 6-10'!L205+'декабрь 2014г. по 0,4'!L202</f>
        <v>0</v>
      </c>
      <c r="M205" s="31">
        <f>'декабрь 2014г. по 6-10'!M205+'декабрь 2014г. по 0,4'!M202</f>
        <v>0</v>
      </c>
      <c r="N205" s="31">
        <f>'декабрь 2014г. по 6-10'!N205+'декабрь 2014г. по 0,4'!N202</f>
        <v>0</v>
      </c>
      <c r="O205" s="31">
        <f>'декабрь 2014г. по 6-10'!O205+'декабрь 2014г. по 0,4'!O202</f>
        <v>0</v>
      </c>
      <c r="P205" s="31">
        <f>'декабрь 2014г. по 6-10'!P205+'декабрь 2014г. по 0,4'!P202</f>
        <v>0</v>
      </c>
      <c r="Q205" s="31">
        <f>'декабрь 2014г. по 6-10'!Q205+'декабрь 2014г. по 0,4'!Q202</f>
        <v>0</v>
      </c>
    </row>
    <row r="206" spans="1:17" ht="12.75" customHeight="1" x14ac:dyDescent="0.2">
      <c r="A206" s="18"/>
      <c r="B206" s="53"/>
      <c r="C206" s="57" t="s">
        <v>268</v>
      </c>
      <c r="D206" s="31">
        <f>'декабрь 2014г. по 6-10'!D206+'декабрь 2014г. по 0,4'!D203</f>
        <v>30</v>
      </c>
      <c r="E206" s="31">
        <f>'декабрь 2014г. по 6-10'!E206+'декабрь 2014г. по 0,4'!E203</f>
        <v>120</v>
      </c>
      <c r="F206" s="31">
        <f>'декабрь 2014г. по 6-10'!F206+'декабрь 2014г. по 0,4'!F203</f>
        <v>1</v>
      </c>
      <c r="G206" s="31">
        <f>'декабрь 2014г. по 6-10'!G206+'декабрь 2014г. по 0,4'!G203</f>
        <v>7</v>
      </c>
      <c r="H206" s="31">
        <f>'декабрь 2014г. по 6-10'!H206+'декабрь 2014г. по 0,4'!H203</f>
        <v>0</v>
      </c>
      <c r="I206" s="31">
        <f>'декабрь 2014г. по 6-10'!I206+'декабрь 2014г. по 0,4'!I203</f>
        <v>0</v>
      </c>
      <c r="J206" s="31">
        <f>'декабрь 2014г. по 6-10'!J206+'декабрь 2014г. по 0,4'!J203</f>
        <v>16</v>
      </c>
      <c r="K206" s="31">
        <f>'декабрь 2014г. по 6-10'!K206+'декабрь 2014г. по 0,4'!K203</f>
        <v>145</v>
      </c>
      <c r="L206" s="31">
        <f>'декабрь 2014г. по 6-10'!L206+'декабрь 2014г. по 0,4'!L203</f>
        <v>0</v>
      </c>
      <c r="M206" s="31">
        <f>'декабрь 2014г. по 6-10'!M206+'декабрь 2014г. по 0,4'!M203</f>
        <v>0</v>
      </c>
      <c r="N206" s="31">
        <f>'декабрь 2014г. по 6-10'!N206+'декабрь 2014г. по 0,4'!N203</f>
        <v>0</v>
      </c>
      <c r="O206" s="31">
        <f>'декабрь 2014г. по 6-10'!O206+'декабрь 2014г. по 0,4'!O203</f>
        <v>0</v>
      </c>
      <c r="P206" s="31">
        <f>'декабрь 2014г. по 6-10'!P206+'декабрь 2014г. по 0,4'!P203</f>
        <v>0</v>
      </c>
      <c r="Q206" s="31">
        <f>'декабрь 2014г. по 6-10'!Q206+'декабрь 2014г. по 0,4'!Q203</f>
        <v>0</v>
      </c>
    </row>
    <row r="207" spans="1:17" ht="12.75" customHeight="1" x14ac:dyDescent="0.2">
      <c r="A207" s="18"/>
      <c r="B207" s="53"/>
      <c r="C207" s="50" t="s">
        <v>269</v>
      </c>
      <c r="D207" s="31">
        <f>'декабрь 2014г. по 6-10'!D207+'декабрь 2014г. по 0,4'!D204</f>
        <v>0</v>
      </c>
      <c r="E207" s="31">
        <f>'декабрь 2014г. по 6-10'!E207+'декабрь 2014г. по 0,4'!E204</f>
        <v>0</v>
      </c>
      <c r="F207" s="31">
        <f>'декабрь 2014г. по 6-10'!F207+'декабрь 2014г. по 0,4'!F204</f>
        <v>0</v>
      </c>
      <c r="G207" s="31">
        <f>'декабрь 2014г. по 6-10'!G207+'декабрь 2014г. по 0,4'!G204</f>
        <v>0</v>
      </c>
      <c r="H207" s="31">
        <f>'декабрь 2014г. по 6-10'!H207+'декабрь 2014г. по 0,4'!H204</f>
        <v>0</v>
      </c>
      <c r="I207" s="31">
        <f>'декабрь 2014г. по 6-10'!I207+'декабрь 2014г. по 0,4'!I204</f>
        <v>0</v>
      </c>
      <c r="J207" s="31">
        <f>'декабрь 2014г. по 6-10'!J207+'декабрь 2014г. по 0,4'!J204</f>
        <v>0</v>
      </c>
      <c r="K207" s="31">
        <f>'декабрь 2014г. по 6-10'!K207+'декабрь 2014г. по 0,4'!K204</f>
        <v>0</v>
      </c>
      <c r="L207" s="31">
        <f>'декабрь 2014г. по 6-10'!L207+'декабрь 2014г. по 0,4'!L204</f>
        <v>0</v>
      </c>
      <c r="M207" s="31">
        <f>'декабрь 2014г. по 6-10'!M207+'декабрь 2014г. по 0,4'!M204</f>
        <v>0</v>
      </c>
      <c r="N207" s="31">
        <f>'декабрь 2014г. по 6-10'!N207+'декабрь 2014г. по 0,4'!N204</f>
        <v>0</v>
      </c>
      <c r="O207" s="31">
        <f>'декабрь 2014г. по 6-10'!O207+'декабрь 2014г. по 0,4'!O204</f>
        <v>0</v>
      </c>
      <c r="P207" s="31">
        <f>'декабрь 2014г. по 6-10'!P207+'декабрь 2014г. по 0,4'!P204</f>
        <v>0</v>
      </c>
      <c r="Q207" s="31">
        <f>'декабрь 2014г. по 6-10'!Q207+'декабрь 2014г. по 0,4'!Q204</f>
        <v>0</v>
      </c>
    </row>
    <row r="208" spans="1:17" ht="12.75" customHeight="1" x14ac:dyDescent="0.2">
      <c r="A208" s="18"/>
      <c r="B208" s="53"/>
      <c r="C208" s="50" t="s">
        <v>270</v>
      </c>
      <c r="D208" s="31">
        <f>'декабрь 2014г. по 6-10'!D208+'декабрь 2014г. по 0,4'!D205</f>
        <v>73</v>
      </c>
      <c r="E208" s="31">
        <f>'декабрь 2014г. по 6-10'!E208+'декабрь 2014г. по 0,4'!E205</f>
        <v>3169</v>
      </c>
      <c r="F208" s="31">
        <f>'декабрь 2014г. по 6-10'!F208+'декабрь 2014г. по 0,4'!F205</f>
        <v>38</v>
      </c>
      <c r="G208" s="31">
        <f>'декабрь 2014г. по 6-10'!G208+'декабрь 2014г. по 0,4'!G205</f>
        <v>1213</v>
      </c>
      <c r="H208" s="31">
        <f>'декабрь 2014г. по 6-10'!H208+'декабрь 2014г. по 0,4'!H205</f>
        <v>0</v>
      </c>
      <c r="I208" s="31">
        <f>'декабрь 2014г. по 6-10'!I208+'декабрь 2014г. по 0,4'!I205</f>
        <v>0</v>
      </c>
      <c r="J208" s="31">
        <f>'декабрь 2014г. по 6-10'!J208+'декабрь 2014г. по 0,4'!J205</f>
        <v>48</v>
      </c>
      <c r="K208" s="31">
        <f>'декабрь 2014г. по 6-10'!K208+'декабрь 2014г. по 0,4'!K205</f>
        <v>1165</v>
      </c>
      <c r="L208" s="31">
        <f>'декабрь 2014г. по 6-10'!L208+'декабрь 2014г. по 0,4'!L205</f>
        <v>0</v>
      </c>
      <c r="M208" s="31">
        <f>'декабрь 2014г. по 6-10'!M208+'декабрь 2014г. по 0,4'!M205</f>
        <v>0</v>
      </c>
      <c r="N208" s="31">
        <f>'декабрь 2014г. по 6-10'!N208+'декабрь 2014г. по 0,4'!N205</f>
        <v>0</v>
      </c>
      <c r="O208" s="31">
        <f>'декабрь 2014г. по 6-10'!O208+'декабрь 2014г. по 0,4'!O205</f>
        <v>0</v>
      </c>
      <c r="P208" s="31">
        <f>'декабрь 2014г. по 6-10'!P208+'декабрь 2014г. по 0,4'!P205</f>
        <v>0</v>
      </c>
      <c r="Q208" s="31">
        <f>'декабрь 2014г. по 6-10'!Q208+'декабрь 2014г. по 0,4'!Q205</f>
        <v>0</v>
      </c>
    </row>
    <row r="209" spans="1:17" ht="12.75" customHeight="1" x14ac:dyDescent="0.2">
      <c r="A209" s="18"/>
      <c r="B209" s="53"/>
      <c r="C209" s="50" t="s">
        <v>271</v>
      </c>
      <c r="D209" s="31">
        <f>'декабрь 2014г. по 6-10'!D209+'декабрь 2014г. по 0,4'!D206</f>
        <v>8</v>
      </c>
      <c r="E209" s="31">
        <f>'декабрь 2014г. по 6-10'!E209+'декабрь 2014г. по 0,4'!E206</f>
        <v>55</v>
      </c>
      <c r="F209" s="31">
        <f>'декабрь 2014г. по 6-10'!F209+'декабрь 2014г. по 0,4'!F206</f>
        <v>8</v>
      </c>
      <c r="G209" s="31">
        <f>'декабрь 2014г. по 6-10'!G209+'декабрь 2014г. по 0,4'!G206</f>
        <v>55</v>
      </c>
      <c r="H209" s="31">
        <f>'декабрь 2014г. по 6-10'!H209+'декабрь 2014г. по 0,4'!H206</f>
        <v>0</v>
      </c>
      <c r="I209" s="31">
        <f>'декабрь 2014г. по 6-10'!I209+'декабрь 2014г. по 0,4'!I206</f>
        <v>0</v>
      </c>
      <c r="J209" s="31">
        <f>'декабрь 2014г. по 6-10'!J209+'декабрь 2014г. по 0,4'!J206</f>
        <v>8</v>
      </c>
      <c r="K209" s="31">
        <f>'декабрь 2014г. по 6-10'!K209+'декабрь 2014г. по 0,4'!K206</f>
        <v>55</v>
      </c>
      <c r="L209" s="31">
        <f>'декабрь 2014г. по 6-10'!L209+'декабрь 2014г. по 0,4'!L206</f>
        <v>0</v>
      </c>
      <c r="M209" s="31">
        <f>'декабрь 2014г. по 6-10'!M209+'декабрь 2014г. по 0,4'!M206</f>
        <v>0</v>
      </c>
      <c r="N209" s="31">
        <f>'декабрь 2014г. по 6-10'!N209+'декабрь 2014г. по 0,4'!N206</f>
        <v>0</v>
      </c>
      <c r="O209" s="31">
        <f>'декабрь 2014г. по 6-10'!O209+'декабрь 2014г. по 0,4'!O206</f>
        <v>0</v>
      </c>
      <c r="P209" s="31">
        <f>'декабрь 2014г. по 6-10'!P209+'декабрь 2014г. по 0,4'!P206</f>
        <v>0</v>
      </c>
      <c r="Q209" s="31">
        <f>'декабрь 2014г. по 6-10'!Q209+'декабрь 2014г. по 0,4'!Q206</f>
        <v>0</v>
      </c>
    </row>
    <row r="210" spans="1:17" ht="12.75" customHeight="1" x14ac:dyDescent="0.2">
      <c r="A210" s="18"/>
      <c r="B210" s="53"/>
      <c r="C210" s="50" t="s">
        <v>272</v>
      </c>
      <c r="D210" s="31">
        <f>'декабрь 2014г. по 6-10'!D210+'декабрь 2014г. по 0,4'!D207</f>
        <v>3</v>
      </c>
      <c r="E210" s="31">
        <f>'декабрь 2014г. по 6-10'!E210+'декабрь 2014г. по 0,4'!E207</f>
        <v>20.5</v>
      </c>
      <c r="F210" s="31">
        <f>'декабрь 2014г. по 6-10'!F210+'декабрь 2014г. по 0,4'!F207</f>
        <v>3</v>
      </c>
      <c r="G210" s="31">
        <f>'декабрь 2014г. по 6-10'!G210+'декабрь 2014г. по 0,4'!G207</f>
        <v>20.5</v>
      </c>
      <c r="H210" s="31">
        <f>'декабрь 2014г. по 6-10'!H210+'декабрь 2014г. по 0,4'!H207</f>
        <v>0</v>
      </c>
      <c r="I210" s="31">
        <f>'декабрь 2014г. по 6-10'!I210+'декабрь 2014г. по 0,4'!I207</f>
        <v>0</v>
      </c>
      <c r="J210" s="31">
        <f>'декабрь 2014г. по 6-10'!J210+'декабрь 2014г. по 0,4'!J207</f>
        <v>3</v>
      </c>
      <c r="K210" s="31">
        <f>'декабрь 2014г. по 6-10'!K210+'декабрь 2014г. по 0,4'!K207</f>
        <v>20.5</v>
      </c>
      <c r="L210" s="31">
        <f>'декабрь 2014г. по 6-10'!L210+'декабрь 2014г. по 0,4'!L207</f>
        <v>0</v>
      </c>
      <c r="M210" s="31">
        <f>'декабрь 2014г. по 6-10'!M210+'декабрь 2014г. по 0,4'!M207</f>
        <v>0</v>
      </c>
      <c r="N210" s="31">
        <f>'декабрь 2014г. по 6-10'!N210+'декабрь 2014г. по 0,4'!N207</f>
        <v>0</v>
      </c>
      <c r="O210" s="31">
        <f>'декабрь 2014г. по 6-10'!O210+'декабрь 2014г. по 0,4'!O207</f>
        <v>0</v>
      </c>
      <c r="P210" s="31">
        <f>'декабрь 2014г. по 6-10'!P210+'декабрь 2014г. по 0,4'!P207</f>
        <v>0</v>
      </c>
      <c r="Q210" s="31">
        <f>'декабрь 2014г. по 6-10'!Q210+'декабрь 2014г. по 0,4'!Q207</f>
        <v>0</v>
      </c>
    </row>
    <row r="211" spans="1:17" ht="12.75" customHeight="1" x14ac:dyDescent="0.2">
      <c r="A211" s="18"/>
      <c r="B211" s="53"/>
      <c r="C211" s="50" t="s">
        <v>273</v>
      </c>
      <c r="D211" s="31">
        <f>'декабрь 2014г. по 6-10'!D211+'декабрь 2014г. по 0,4'!D208</f>
        <v>14</v>
      </c>
      <c r="E211" s="31">
        <f>'декабрь 2014г. по 6-10'!E211+'декабрь 2014г. по 0,4'!E208</f>
        <v>224.25</v>
      </c>
      <c r="F211" s="31">
        <f>'декабрь 2014г. по 6-10'!F211+'декабрь 2014г. по 0,4'!F208</f>
        <v>13</v>
      </c>
      <c r="G211" s="31">
        <f>'декабрь 2014г. по 6-10'!G211+'декабрь 2014г. по 0,4'!G208</f>
        <v>195</v>
      </c>
      <c r="H211" s="31">
        <f>'декабрь 2014г. по 6-10'!H211+'декабрь 2014г. по 0,4'!H208</f>
        <v>0</v>
      </c>
      <c r="I211" s="31">
        <f>'декабрь 2014г. по 6-10'!I211+'декабрь 2014г. по 0,4'!I208</f>
        <v>0</v>
      </c>
      <c r="J211" s="31">
        <f>'декабрь 2014г. по 6-10'!J211+'декабрь 2014г. по 0,4'!J208</f>
        <v>14</v>
      </c>
      <c r="K211" s="31">
        <f>'декабрь 2014г. по 6-10'!K211+'декабрь 2014г. по 0,4'!K208</f>
        <v>224.25</v>
      </c>
      <c r="L211" s="31">
        <f>'декабрь 2014г. по 6-10'!L211+'декабрь 2014г. по 0,4'!L208</f>
        <v>0</v>
      </c>
      <c r="M211" s="31">
        <f>'декабрь 2014г. по 6-10'!M211+'декабрь 2014г. по 0,4'!M208</f>
        <v>0</v>
      </c>
      <c r="N211" s="31">
        <f>'декабрь 2014г. по 6-10'!N211+'декабрь 2014г. по 0,4'!N208</f>
        <v>0</v>
      </c>
      <c r="O211" s="31">
        <f>'декабрь 2014г. по 6-10'!O211+'декабрь 2014г. по 0,4'!O208</f>
        <v>0</v>
      </c>
      <c r="P211" s="31">
        <f>'декабрь 2014г. по 6-10'!P211+'декабрь 2014г. по 0,4'!P208</f>
        <v>0</v>
      </c>
      <c r="Q211" s="31">
        <f>'декабрь 2014г. по 6-10'!Q211+'декабрь 2014г. по 0,4'!Q208</f>
        <v>0</v>
      </c>
    </row>
    <row r="212" spans="1:17" ht="12.75" customHeight="1" x14ac:dyDescent="0.2">
      <c r="A212" s="18"/>
      <c r="B212" s="53"/>
      <c r="C212" s="50" t="s">
        <v>274</v>
      </c>
      <c r="D212" s="31">
        <f>'декабрь 2014г. по 6-10'!D212+'декабрь 2014г. по 0,4'!D209</f>
        <v>10</v>
      </c>
      <c r="E212" s="31">
        <f>'декабрь 2014г. по 6-10'!E212+'декабрь 2014г. по 0,4'!E209</f>
        <v>100</v>
      </c>
      <c r="F212" s="31">
        <f>'декабрь 2014г. по 6-10'!F212+'декабрь 2014г. по 0,4'!F209</f>
        <v>10</v>
      </c>
      <c r="G212" s="31">
        <f>'декабрь 2014г. по 6-10'!G212+'декабрь 2014г. по 0,4'!G209</f>
        <v>100</v>
      </c>
      <c r="H212" s="31">
        <f>'декабрь 2014г. по 6-10'!H212+'декабрь 2014г. по 0,4'!H209</f>
        <v>0</v>
      </c>
      <c r="I212" s="31">
        <f>'декабрь 2014г. по 6-10'!I212+'декабрь 2014г. по 0,4'!I209</f>
        <v>0</v>
      </c>
      <c r="J212" s="31">
        <f>'декабрь 2014г. по 6-10'!J212+'декабрь 2014г. по 0,4'!J209</f>
        <v>10</v>
      </c>
      <c r="K212" s="31">
        <f>'декабрь 2014г. по 6-10'!K212+'декабрь 2014г. по 0,4'!K209</f>
        <v>100</v>
      </c>
      <c r="L212" s="31">
        <f>'декабрь 2014г. по 6-10'!L212+'декабрь 2014г. по 0,4'!L209</f>
        <v>0</v>
      </c>
      <c r="M212" s="31">
        <f>'декабрь 2014г. по 6-10'!M212+'декабрь 2014г. по 0,4'!M209</f>
        <v>0</v>
      </c>
      <c r="N212" s="31">
        <f>'декабрь 2014г. по 6-10'!N212+'декабрь 2014г. по 0,4'!N209</f>
        <v>0</v>
      </c>
      <c r="O212" s="31">
        <f>'декабрь 2014г. по 6-10'!O212+'декабрь 2014г. по 0,4'!O209</f>
        <v>0</v>
      </c>
      <c r="P212" s="31">
        <f>'декабрь 2014г. по 6-10'!P212+'декабрь 2014г. по 0,4'!P209</f>
        <v>0</v>
      </c>
      <c r="Q212" s="31">
        <f>'декабрь 2014г. по 6-10'!Q212+'декабрь 2014г. по 0,4'!Q209</f>
        <v>0</v>
      </c>
    </row>
    <row r="213" spans="1:17" ht="12.75" customHeight="1" x14ac:dyDescent="0.2">
      <c r="A213" s="18"/>
      <c r="B213" s="53"/>
      <c r="C213" s="50" t="s">
        <v>275</v>
      </c>
      <c r="D213" s="31">
        <f>'декабрь 2014г. по 6-10'!D213+'декабрь 2014г. по 0,4'!D210</f>
        <v>7</v>
      </c>
      <c r="E213" s="31">
        <f>'декабрь 2014г. по 6-10'!E213+'декабрь 2014г. по 0,4'!E210</f>
        <v>435</v>
      </c>
      <c r="F213" s="31">
        <f>'декабрь 2014г. по 6-10'!F213+'декабрь 2014г. по 0,4'!F210</f>
        <v>4</v>
      </c>
      <c r="G213" s="31">
        <f>'декабрь 2014г. по 6-10'!G213+'декабрь 2014г. по 0,4'!G210</f>
        <v>115</v>
      </c>
      <c r="H213" s="31">
        <f>'декабрь 2014г. по 6-10'!H213+'декабрь 2014г. по 0,4'!H210</f>
        <v>0</v>
      </c>
      <c r="I213" s="31">
        <f>'декабрь 2014г. по 6-10'!I213+'декабрь 2014г. по 0,4'!I210</f>
        <v>0</v>
      </c>
      <c r="J213" s="31">
        <f>'декабрь 2014г. по 6-10'!J213+'декабрь 2014г. по 0,4'!J210</f>
        <v>3</v>
      </c>
      <c r="K213" s="31">
        <f>'декабрь 2014г. по 6-10'!K213+'декабрь 2014г. по 0,4'!K210</f>
        <v>225</v>
      </c>
      <c r="L213" s="31">
        <f>'декабрь 2014г. по 6-10'!L213+'декабрь 2014г. по 0,4'!L210</f>
        <v>0</v>
      </c>
      <c r="M213" s="31">
        <f>'декабрь 2014г. по 6-10'!M213+'декабрь 2014г. по 0,4'!M210</f>
        <v>0</v>
      </c>
      <c r="N213" s="31">
        <f>'декабрь 2014г. по 6-10'!N213+'декабрь 2014г. по 0,4'!N210</f>
        <v>0</v>
      </c>
      <c r="O213" s="31">
        <f>'декабрь 2014г. по 6-10'!O213+'декабрь 2014г. по 0,4'!O210</f>
        <v>0</v>
      </c>
      <c r="P213" s="31">
        <f>'декабрь 2014г. по 6-10'!P213+'декабрь 2014г. по 0,4'!P210</f>
        <v>0</v>
      </c>
      <c r="Q213" s="31">
        <f>'декабрь 2014г. по 6-10'!Q213+'декабрь 2014г. по 0,4'!Q210</f>
        <v>0</v>
      </c>
    </row>
    <row r="214" spans="1:17" ht="12.75" customHeight="1" x14ac:dyDescent="0.2">
      <c r="A214" s="18"/>
      <c r="B214" s="53"/>
      <c r="C214" s="50" t="s">
        <v>276</v>
      </c>
      <c r="D214" s="31">
        <f>'декабрь 2014г. по 6-10'!D214+'декабрь 2014г. по 0,4'!D211</f>
        <v>7</v>
      </c>
      <c r="E214" s="31">
        <f>'декабрь 2014г. по 6-10'!E214+'декабрь 2014г. по 0,4'!E211</f>
        <v>65.8</v>
      </c>
      <c r="F214" s="31">
        <f>'декабрь 2014г. по 6-10'!F214+'декабрь 2014г. по 0,4'!F211</f>
        <v>3</v>
      </c>
      <c r="G214" s="31">
        <f>'декабрь 2014г. по 6-10'!G214+'декабрь 2014г. по 0,4'!G211</f>
        <v>37</v>
      </c>
      <c r="H214" s="31">
        <f>'декабрь 2014г. по 6-10'!H214+'декабрь 2014г. по 0,4'!H211</f>
        <v>0</v>
      </c>
      <c r="I214" s="31">
        <f>'декабрь 2014г. по 6-10'!I214+'декабрь 2014г. по 0,4'!I211</f>
        <v>0</v>
      </c>
      <c r="J214" s="31">
        <f>'декабрь 2014г. по 6-10'!J214+'декабрь 2014г. по 0,4'!J211</f>
        <v>4</v>
      </c>
      <c r="K214" s="31">
        <f>'декабрь 2014г. по 6-10'!K214+'декабрь 2014г. по 0,4'!K211</f>
        <v>77</v>
      </c>
      <c r="L214" s="31">
        <f>'декабрь 2014г. по 6-10'!L214+'декабрь 2014г. по 0,4'!L211</f>
        <v>0</v>
      </c>
      <c r="M214" s="31">
        <f>'декабрь 2014г. по 6-10'!M214+'декабрь 2014г. по 0,4'!M211</f>
        <v>0</v>
      </c>
      <c r="N214" s="31">
        <f>'декабрь 2014г. по 6-10'!N214+'декабрь 2014г. по 0,4'!N211</f>
        <v>0</v>
      </c>
      <c r="O214" s="31">
        <f>'декабрь 2014г. по 6-10'!O214+'декабрь 2014г. по 0,4'!O211</f>
        <v>0</v>
      </c>
      <c r="P214" s="31">
        <f>'декабрь 2014г. по 6-10'!P214+'декабрь 2014г. по 0,4'!P211</f>
        <v>0</v>
      </c>
      <c r="Q214" s="31">
        <f>'декабрь 2014г. по 6-10'!Q214+'декабрь 2014г. по 0,4'!Q211</f>
        <v>0</v>
      </c>
    </row>
    <row r="215" spans="1:17" ht="12.75" customHeight="1" x14ac:dyDescent="0.2">
      <c r="A215" s="18"/>
      <c r="B215" s="53"/>
      <c r="C215" s="50" t="s">
        <v>277</v>
      </c>
      <c r="D215" s="31">
        <f>'декабрь 2014г. по 6-10'!D215+'декабрь 2014г. по 0,4'!D212</f>
        <v>15</v>
      </c>
      <c r="E215" s="31">
        <f>'декабрь 2014г. по 6-10'!E215+'декабрь 2014г. по 0,4'!E212</f>
        <v>566</v>
      </c>
      <c r="F215" s="31">
        <f>'декабрь 2014г. по 6-10'!F215+'декабрь 2014г. по 0,4'!F212</f>
        <v>14</v>
      </c>
      <c r="G215" s="31">
        <f>'декабрь 2014г. по 6-10'!G215+'декабрь 2014г. по 0,4'!G212</f>
        <v>246</v>
      </c>
      <c r="H215" s="31">
        <f>'декабрь 2014г. по 6-10'!H215+'декабрь 2014г. по 0,4'!H212</f>
        <v>0</v>
      </c>
      <c r="I215" s="31">
        <f>'декабрь 2014г. по 6-10'!I215+'декабрь 2014г. по 0,4'!I212</f>
        <v>0</v>
      </c>
      <c r="J215" s="31">
        <f>'декабрь 2014г. по 6-10'!J215+'декабрь 2014г. по 0,4'!J212</f>
        <v>12</v>
      </c>
      <c r="K215" s="31">
        <f>'декабрь 2014г. по 6-10'!K215+'декабрь 2014г. по 0,4'!K212</f>
        <v>151.19999999999999</v>
      </c>
      <c r="L215" s="31">
        <f>'декабрь 2014г. по 6-10'!L215+'декабрь 2014г. по 0,4'!L212</f>
        <v>0</v>
      </c>
      <c r="M215" s="31">
        <f>'декабрь 2014г. по 6-10'!M215+'декабрь 2014г. по 0,4'!M212</f>
        <v>0</v>
      </c>
      <c r="N215" s="31">
        <f>'декабрь 2014г. по 6-10'!N215+'декабрь 2014г. по 0,4'!N212</f>
        <v>0</v>
      </c>
      <c r="O215" s="31">
        <f>'декабрь 2014г. по 6-10'!O215+'декабрь 2014г. по 0,4'!O212</f>
        <v>0</v>
      </c>
      <c r="P215" s="31">
        <f>'декабрь 2014г. по 6-10'!P215+'декабрь 2014г. по 0,4'!P212</f>
        <v>0</v>
      </c>
      <c r="Q215" s="31">
        <f>'декабрь 2014г. по 6-10'!Q215+'декабрь 2014г. по 0,4'!Q212</f>
        <v>0</v>
      </c>
    </row>
    <row r="216" spans="1:17" ht="12.75" customHeight="1" x14ac:dyDescent="0.2">
      <c r="A216" s="18"/>
      <c r="B216" s="53"/>
      <c r="C216" s="50" t="s">
        <v>278</v>
      </c>
      <c r="D216" s="31">
        <f>'декабрь 2014г. по 6-10'!D216+'декабрь 2014г. по 0,4'!D213</f>
        <v>6</v>
      </c>
      <c r="E216" s="31">
        <f>'декабрь 2014г. по 6-10'!E216+'декабрь 2014г. по 0,4'!E213</f>
        <v>74.400000000000006</v>
      </c>
      <c r="F216" s="31">
        <f>'декабрь 2014г. по 6-10'!F216+'декабрь 2014г. по 0,4'!F213</f>
        <v>6</v>
      </c>
      <c r="G216" s="31">
        <f>'декабрь 2014г. по 6-10'!G216+'декабрь 2014г. по 0,4'!G213</f>
        <v>74.400000000000006</v>
      </c>
      <c r="H216" s="31">
        <f>'декабрь 2014г. по 6-10'!H216+'декабрь 2014г. по 0,4'!H213</f>
        <v>0</v>
      </c>
      <c r="I216" s="31">
        <f>'декабрь 2014г. по 6-10'!I216+'декабрь 2014г. по 0,4'!I213</f>
        <v>0</v>
      </c>
      <c r="J216" s="31">
        <f>'декабрь 2014г. по 6-10'!J216+'декабрь 2014г. по 0,4'!J213</f>
        <v>4</v>
      </c>
      <c r="K216" s="31">
        <f>'декабрь 2014г. по 6-10'!K216+'декабрь 2014г. по 0,4'!K213</f>
        <v>62</v>
      </c>
      <c r="L216" s="31">
        <f>'декабрь 2014г. по 6-10'!L216+'декабрь 2014г. по 0,4'!L213</f>
        <v>0</v>
      </c>
      <c r="M216" s="31">
        <f>'декабрь 2014г. по 6-10'!M216+'декабрь 2014г. по 0,4'!M213</f>
        <v>0</v>
      </c>
      <c r="N216" s="31">
        <f>'декабрь 2014г. по 6-10'!N216+'декабрь 2014г. по 0,4'!N213</f>
        <v>0</v>
      </c>
      <c r="O216" s="31">
        <f>'декабрь 2014г. по 6-10'!O216+'декабрь 2014г. по 0,4'!O213</f>
        <v>0</v>
      </c>
      <c r="P216" s="31">
        <f>'декабрь 2014г. по 6-10'!P216+'декабрь 2014г. по 0,4'!P213</f>
        <v>0</v>
      </c>
      <c r="Q216" s="31">
        <f>'декабрь 2014г. по 6-10'!Q216+'декабрь 2014г. по 0,4'!Q213</f>
        <v>0</v>
      </c>
    </row>
    <row r="217" spans="1:17" ht="12.75" customHeight="1" x14ac:dyDescent="0.2">
      <c r="A217" s="18"/>
      <c r="B217" s="53"/>
      <c r="C217" s="50" t="s">
        <v>279</v>
      </c>
      <c r="D217" s="31">
        <f>'декабрь 2014г. по 6-10'!D217+'декабрь 2014г. по 0,4'!D214</f>
        <v>1</v>
      </c>
      <c r="E217" s="31">
        <f>'декабрь 2014г. по 6-10'!E217+'декабрь 2014г. по 0,4'!E214</f>
        <v>3</v>
      </c>
      <c r="F217" s="31">
        <f>'декабрь 2014г. по 6-10'!F217+'декабрь 2014г. по 0,4'!F214</f>
        <v>1</v>
      </c>
      <c r="G217" s="31">
        <f>'декабрь 2014г. по 6-10'!G217+'декабрь 2014г. по 0,4'!G214</f>
        <v>3</v>
      </c>
      <c r="H217" s="31">
        <f>'декабрь 2014г. по 6-10'!H217+'декабрь 2014г. по 0,4'!H214</f>
        <v>0</v>
      </c>
      <c r="I217" s="31">
        <f>'декабрь 2014г. по 6-10'!I217+'декабрь 2014г. по 0,4'!I214</f>
        <v>0</v>
      </c>
      <c r="J217" s="31">
        <f>'декабрь 2014г. по 6-10'!J217+'декабрь 2014г. по 0,4'!J214</f>
        <v>1</v>
      </c>
      <c r="K217" s="31">
        <f>'декабрь 2014г. по 6-10'!K217+'декабрь 2014г. по 0,4'!K214</f>
        <v>3</v>
      </c>
      <c r="L217" s="31">
        <f>'декабрь 2014г. по 6-10'!L217+'декабрь 2014г. по 0,4'!L214</f>
        <v>0</v>
      </c>
      <c r="M217" s="31">
        <f>'декабрь 2014г. по 6-10'!M217+'декабрь 2014г. по 0,4'!M214</f>
        <v>0</v>
      </c>
      <c r="N217" s="31">
        <f>'декабрь 2014г. по 6-10'!N217+'декабрь 2014г. по 0,4'!N214</f>
        <v>0</v>
      </c>
      <c r="O217" s="31">
        <f>'декабрь 2014г. по 6-10'!O217+'декабрь 2014г. по 0,4'!O214</f>
        <v>0</v>
      </c>
      <c r="P217" s="31">
        <f>'декабрь 2014г. по 6-10'!P217+'декабрь 2014г. по 0,4'!P214</f>
        <v>0</v>
      </c>
      <c r="Q217" s="31">
        <f>'декабрь 2014г. по 6-10'!Q217+'декабрь 2014г. по 0,4'!Q214</f>
        <v>0</v>
      </c>
    </row>
    <row r="218" spans="1:17" ht="12.75" customHeight="1" x14ac:dyDescent="0.2">
      <c r="A218" s="18"/>
      <c r="B218" s="53"/>
      <c r="C218" s="50" t="s">
        <v>280</v>
      </c>
      <c r="D218" s="31">
        <f>'декабрь 2014г. по 6-10'!D218+'декабрь 2014г. по 0,4'!D215</f>
        <v>4</v>
      </c>
      <c r="E218" s="31">
        <f>'декабрь 2014г. по 6-10'!E218+'декабрь 2014г. по 0,4'!E215</f>
        <v>155</v>
      </c>
      <c r="F218" s="31">
        <f>'декабрь 2014г. по 6-10'!F218+'декабрь 2014г. по 0,4'!F215</f>
        <v>3</v>
      </c>
      <c r="G218" s="31">
        <f>'декабрь 2014г. по 6-10'!G218+'декабрь 2014г. по 0,4'!G215</f>
        <v>19.399999999999999</v>
      </c>
      <c r="H218" s="31">
        <f>'декабрь 2014г. по 6-10'!H218+'декабрь 2014г. по 0,4'!H215</f>
        <v>0</v>
      </c>
      <c r="I218" s="31">
        <f>'декабрь 2014г. по 6-10'!I218+'декабрь 2014г. по 0,4'!I215</f>
        <v>0</v>
      </c>
      <c r="J218" s="31">
        <f>'декабрь 2014г. по 6-10'!J218+'декабрь 2014г. по 0,4'!J215</f>
        <v>4</v>
      </c>
      <c r="K218" s="31">
        <f>'декабрь 2014г. по 6-10'!K218+'декабрь 2014г. по 0,4'!K215</f>
        <v>155</v>
      </c>
      <c r="L218" s="31">
        <f>'декабрь 2014г. по 6-10'!L218+'декабрь 2014г. по 0,4'!L215</f>
        <v>0</v>
      </c>
      <c r="M218" s="31">
        <f>'декабрь 2014г. по 6-10'!M218+'декабрь 2014г. по 0,4'!M215</f>
        <v>0</v>
      </c>
      <c r="N218" s="31">
        <f>'декабрь 2014г. по 6-10'!N218+'декабрь 2014г. по 0,4'!N215</f>
        <v>0</v>
      </c>
      <c r="O218" s="31">
        <f>'декабрь 2014г. по 6-10'!O218+'декабрь 2014г. по 0,4'!O215</f>
        <v>0</v>
      </c>
      <c r="P218" s="31">
        <f>'декабрь 2014г. по 6-10'!P218+'декабрь 2014г. по 0,4'!P215</f>
        <v>0</v>
      </c>
      <c r="Q218" s="31">
        <f>'декабрь 2014г. по 6-10'!Q218+'декабрь 2014г. по 0,4'!Q215</f>
        <v>0</v>
      </c>
    </row>
    <row r="219" spans="1:17" ht="12.75" customHeight="1" x14ac:dyDescent="0.2">
      <c r="A219" s="18"/>
      <c r="B219" s="53"/>
      <c r="C219" s="50" t="s">
        <v>281</v>
      </c>
      <c r="D219" s="31">
        <f>'декабрь 2014г. по 6-10'!D219+'декабрь 2014г. по 0,4'!D216</f>
        <v>13</v>
      </c>
      <c r="E219" s="31">
        <f>'декабрь 2014г. по 6-10'!E219+'декабрь 2014г. по 0,4'!E216</f>
        <v>267</v>
      </c>
      <c r="F219" s="31">
        <f>'декабрь 2014г. по 6-10'!F219+'декабрь 2014г. по 0,4'!F216</f>
        <v>3</v>
      </c>
      <c r="G219" s="31">
        <f>'декабрь 2014г. по 6-10'!G219+'декабрь 2014г. по 0,4'!G216</f>
        <v>51</v>
      </c>
      <c r="H219" s="31">
        <f>'декабрь 2014г. по 6-10'!H219+'декабрь 2014г. по 0,4'!H216</f>
        <v>0</v>
      </c>
      <c r="I219" s="31">
        <f>'декабрь 2014г. по 6-10'!I219+'декабрь 2014г. по 0,4'!I216</f>
        <v>0</v>
      </c>
      <c r="J219" s="31">
        <f>'декабрь 2014г. по 6-10'!J219+'декабрь 2014г. по 0,4'!J216</f>
        <v>13</v>
      </c>
      <c r="K219" s="31">
        <f>'декабрь 2014г. по 6-10'!K219+'декабрь 2014г. по 0,4'!K216</f>
        <v>267</v>
      </c>
      <c r="L219" s="31">
        <f>'декабрь 2014г. по 6-10'!L219+'декабрь 2014г. по 0,4'!L216</f>
        <v>0</v>
      </c>
      <c r="M219" s="31">
        <f>'декабрь 2014г. по 6-10'!M219+'декабрь 2014г. по 0,4'!M216</f>
        <v>0</v>
      </c>
      <c r="N219" s="31">
        <f>'декабрь 2014г. по 6-10'!N219+'декабрь 2014г. по 0,4'!N216</f>
        <v>0</v>
      </c>
      <c r="O219" s="31">
        <f>'декабрь 2014г. по 6-10'!O219+'декабрь 2014г. по 0,4'!O216</f>
        <v>0</v>
      </c>
      <c r="P219" s="31">
        <f>'декабрь 2014г. по 6-10'!P219+'декабрь 2014г. по 0,4'!P216</f>
        <v>0</v>
      </c>
      <c r="Q219" s="31">
        <f>'декабрь 2014г. по 6-10'!Q219+'декабрь 2014г. по 0,4'!Q216</f>
        <v>0</v>
      </c>
    </row>
    <row r="220" spans="1:17" ht="12.75" customHeight="1" x14ac:dyDescent="0.2">
      <c r="A220" s="18"/>
      <c r="B220" s="53"/>
      <c r="C220" s="50" t="s">
        <v>282</v>
      </c>
      <c r="D220" s="31">
        <f>'декабрь 2014г. по 6-10'!D220+'декабрь 2014г. по 0,4'!D217</f>
        <v>7</v>
      </c>
      <c r="E220" s="31">
        <f>'декабрь 2014г. по 6-10'!E220+'декабрь 2014г. по 0,4'!E217</f>
        <v>25</v>
      </c>
      <c r="F220" s="31">
        <f>'декабрь 2014г. по 6-10'!F220+'декабрь 2014г. по 0,4'!F217</f>
        <v>0</v>
      </c>
      <c r="G220" s="31">
        <f>'декабрь 2014г. по 6-10'!G220+'декабрь 2014г. по 0,4'!G217</f>
        <v>0</v>
      </c>
      <c r="H220" s="31">
        <f>'декабрь 2014г. по 6-10'!H220+'декабрь 2014г. по 0,4'!H217</f>
        <v>0</v>
      </c>
      <c r="I220" s="31">
        <f>'декабрь 2014г. по 6-10'!I220+'декабрь 2014г. по 0,4'!I217</f>
        <v>0</v>
      </c>
      <c r="J220" s="31">
        <f>'декабрь 2014г. по 6-10'!J220+'декабрь 2014г. по 0,4'!J217</f>
        <v>7</v>
      </c>
      <c r="K220" s="31">
        <f>'декабрь 2014г. по 6-10'!K220+'декабрь 2014г. по 0,4'!K217</f>
        <v>25</v>
      </c>
      <c r="L220" s="31">
        <f>'декабрь 2014г. по 6-10'!L220+'декабрь 2014г. по 0,4'!L217</f>
        <v>0</v>
      </c>
      <c r="M220" s="31">
        <f>'декабрь 2014г. по 6-10'!M220+'декабрь 2014г. по 0,4'!M217</f>
        <v>0</v>
      </c>
      <c r="N220" s="31">
        <f>'декабрь 2014г. по 6-10'!N220+'декабрь 2014г. по 0,4'!N217</f>
        <v>0</v>
      </c>
      <c r="O220" s="31">
        <f>'декабрь 2014г. по 6-10'!O220+'декабрь 2014г. по 0,4'!O217</f>
        <v>0</v>
      </c>
      <c r="P220" s="31">
        <f>'декабрь 2014г. по 6-10'!P220+'декабрь 2014г. по 0,4'!P217</f>
        <v>0</v>
      </c>
      <c r="Q220" s="31">
        <f>'декабрь 2014г. по 6-10'!Q220+'декабрь 2014г. по 0,4'!Q217</f>
        <v>0</v>
      </c>
    </row>
    <row r="221" spans="1:17" ht="12.75" customHeight="1" x14ac:dyDescent="0.2">
      <c r="A221" s="18"/>
      <c r="B221" s="53"/>
      <c r="C221" s="50" t="s">
        <v>283</v>
      </c>
      <c r="D221" s="31">
        <f>'декабрь 2014г. по 6-10'!D221+'декабрь 2014г. по 0,4'!D218</f>
        <v>15</v>
      </c>
      <c r="E221" s="31">
        <f>'декабрь 2014г. по 6-10'!E221+'декабрь 2014г. по 0,4'!E218</f>
        <v>148</v>
      </c>
      <c r="F221" s="31">
        <f>'декабрь 2014г. по 6-10'!F221+'декабрь 2014г. по 0,4'!F218</f>
        <v>15</v>
      </c>
      <c r="G221" s="31">
        <f>'декабрь 2014г. по 6-10'!G221+'декабрь 2014г. по 0,4'!G218</f>
        <v>148</v>
      </c>
      <c r="H221" s="31">
        <f>'декабрь 2014г. по 6-10'!H221+'декабрь 2014г. по 0,4'!H218</f>
        <v>0</v>
      </c>
      <c r="I221" s="31">
        <f>'декабрь 2014г. по 6-10'!I221+'декабрь 2014г. по 0,4'!I218</f>
        <v>0</v>
      </c>
      <c r="J221" s="31">
        <f>'декабрь 2014г. по 6-10'!J221+'декабрь 2014г. по 0,4'!J218</f>
        <v>15</v>
      </c>
      <c r="K221" s="31">
        <f>'декабрь 2014г. по 6-10'!K221+'декабрь 2014г. по 0,4'!K218</f>
        <v>148</v>
      </c>
      <c r="L221" s="31">
        <f>'декабрь 2014г. по 6-10'!L221+'декабрь 2014г. по 0,4'!L218</f>
        <v>0</v>
      </c>
      <c r="M221" s="31">
        <f>'декабрь 2014г. по 6-10'!M221+'декабрь 2014г. по 0,4'!M218</f>
        <v>0</v>
      </c>
      <c r="N221" s="31">
        <f>'декабрь 2014г. по 6-10'!N221+'декабрь 2014г. по 0,4'!N218</f>
        <v>0</v>
      </c>
      <c r="O221" s="31">
        <f>'декабрь 2014г. по 6-10'!O221+'декабрь 2014г. по 0,4'!O218</f>
        <v>0</v>
      </c>
      <c r="P221" s="31">
        <f>'декабрь 2014г. по 6-10'!P221+'декабрь 2014г. по 0,4'!P218</f>
        <v>0</v>
      </c>
      <c r="Q221" s="31">
        <f>'декабрь 2014г. по 6-10'!Q221+'декабрь 2014г. по 0,4'!Q218</f>
        <v>0</v>
      </c>
    </row>
    <row r="222" spans="1:17" ht="12.75" customHeight="1" x14ac:dyDescent="0.2">
      <c r="A222" s="18"/>
      <c r="B222" s="53"/>
      <c r="C222" s="50" t="s">
        <v>284</v>
      </c>
      <c r="D222" s="31">
        <f>'декабрь 2014г. по 6-10'!D222+'декабрь 2014г. по 0,4'!D219</f>
        <v>13</v>
      </c>
      <c r="E222" s="31">
        <f>'декабрь 2014г. по 6-10'!E222+'декабрь 2014г. по 0,4'!E219</f>
        <v>607</v>
      </c>
      <c r="F222" s="31">
        <f>'декабрь 2014г. по 6-10'!F222+'декабрь 2014г. по 0,4'!F219</f>
        <v>1</v>
      </c>
      <c r="G222" s="31">
        <f>'декабрь 2014г. по 6-10'!G222+'декабрь 2014г. по 0,4'!G219</f>
        <v>30</v>
      </c>
      <c r="H222" s="31">
        <f>'декабрь 2014г. по 6-10'!H222+'декабрь 2014г. по 0,4'!H219</f>
        <v>0</v>
      </c>
      <c r="I222" s="31">
        <f>'декабрь 2014г. по 6-10'!I222+'декабрь 2014г. по 0,4'!I219</f>
        <v>0</v>
      </c>
      <c r="J222" s="31">
        <f>'декабрь 2014г. по 6-10'!J222+'декабрь 2014г. по 0,4'!J219</f>
        <v>13</v>
      </c>
      <c r="K222" s="31">
        <f>'декабрь 2014г. по 6-10'!K222+'декабрь 2014г. по 0,4'!K219</f>
        <v>607</v>
      </c>
      <c r="L222" s="31">
        <f>'декабрь 2014г. по 6-10'!L222+'декабрь 2014г. по 0,4'!L219</f>
        <v>0</v>
      </c>
      <c r="M222" s="31">
        <f>'декабрь 2014г. по 6-10'!M222+'декабрь 2014г. по 0,4'!M219</f>
        <v>0</v>
      </c>
      <c r="N222" s="31">
        <f>'декабрь 2014г. по 6-10'!N222+'декабрь 2014г. по 0,4'!N219</f>
        <v>0</v>
      </c>
      <c r="O222" s="31">
        <f>'декабрь 2014г. по 6-10'!O222+'декабрь 2014г. по 0,4'!O219</f>
        <v>0</v>
      </c>
      <c r="P222" s="31">
        <f>'декабрь 2014г. по 6-10'!P222+'декабрь 2014г. по 0,4'!P219</f>
        <v>0</v>
      </c>
      <c r="Q222" s="31">
        <f>'декабрь 2014г. по 6-10'!Q222+'декабрь 2014г. по 0,4'!Q219</f>
        <v>0</v>
      </c>
    </row>
    <row r="223" spans="1:17" ht="12.75" customHeight="1" x14ac:dyDescent="0.2">
      <c r="A223" s="18"/>
      <c r="B223" s="53"/>
      <c r="C223" s="50" t="s">
        <v>285</v>
      </c>
      <c r="D223" s="31">
        <f>'декабрь 2014г. по 6-10'!D223+'декабрь 2014г. по 0,4'!D220</f>
        <v>12</v>
      </c>
      <c r="E223" s="31">
        <f>'декабрь 2014г. по 6-10'!E223+'декабрь 2014г. по 0,4'!E220</f>
        <v>141</v>
      </c>
      <c r="F223" s="31">
        <f>'декабрь 2014г. по 6-10'!F223+'декабрь 2014г. по 0,4'!F220</f>
        <v>7</v>
      </c>
      <c r="G223" s="31">
        <f>'декабрь 2014г. по 6-10'!G223+'декабрь 2014г. по 0,4'!G220</f>
        <v>56</v>
      </c>
      <c r="H223" s="31">
        <f>'декабрь 2014г. по 6-10'!H223+'декабрь 2014г. по 0,4'!H220</f>
        <v>0</v>
      </c>
      <c r="I223" s="31">
        <f>'декабрь 2014г. по 6-10'!I223+'декабрь 2014г. по 0,4'!I220</f>
        <v>0</v>
      </c>
      <c r="J223" s="31">
        <f>'декабрь 2014г. по 6-10'!J223+'декабрь 2014г. по 0,4'!J220</f>
        <v>6</v>
      </c>
      <c r="K223" s="31">
        <f>'декабрь 2014г. по 6-10'!K223+'декабрь 2014г. по 0,4'!K220</f>
        <v>41</v>
      </c>
      <c r="L223" s="31">
        <f>'декабрь 2014г. по 6-10'!L223+'декабрь 2014г. по 0,4'!L220</f>
        <v>0</v>
      </c>
      <c r="M223" s="31">
        <f>'декабрь 2014г. по 6-10'!M223+'декабрь 2014г. по 0,4'!M220</f>
        <v>0</v>
      </c>
      <c r="N223" s="31">
        <f>'декабрь 2014г. по 6-10'!N223+'декабрь 2014г. по 0,4'!N220</f>
        <v>0</v>
      </c>
      <c r="O223" s="31">
        <f>'декабрь 2014г. по 6-10'!O223+'декабрь 2014г. по 0,4'!O220</f>
        <v>0</v>
      </c>
      <c r="P223" s="31">
        <f>'декабрь 2014г. по 6-10'!P223+'декабрь 2014г. по 0,4'!P220</f>
        <v>0</v>
      </c>
      <c r="Q223" s="31">
        <f>'декабрь 2014г. по 6-10'!Q223+'декабрь 2014г. по 0,4'!Q220</f>
        <v>0</v>
      </c>
    </row>
    <row r="224" spans="1:17" ht="12.75" customHeight="1" x14ac:dyDescent="0.2">
      <c r="A224" s="18"/>
      <c r="B224" s="53"/>
      <c r="C224" s="50" t="s">
        <v>286</v>
      </c>
      <c r="D224" s="31">
        <f>'декабрь 2014г. по 6-10'!D224+'декабрь 2014г. по 0,4'!D221</f>
        <v>20</v>
      </c>
      <c r="E224" s="31">
        <f>'декабрь 2014г. по 6-10'!E224+'декабрь 2014г. по 0,4'!E221</f>
        <v>587</v>
      </c>
      <c r="F224" s="31">
        <f>'декабрь 2014г. по 6-10'!F224+'декабрь 2014г. по 0,4'!F221</f>
        <v>11</v>
      </c>
      <c r="G224" s="31">
        <f>'декабрь 2014г. по 6-10'!G224+'декабрь 2014г. по 0,4'!G221</f>
        <v>225</v>
      </c>
      <c r="H224" s="31">
        <f>'декабрь 2014г. по 6-10'!H224+'декабрь 2014г. по 0,4'!H221</f>
        <v>0</v>
      </c>
      <c r="I224" s="31">
        <f>'декабрь 2014г. по 6-10'!I224+'декабрь 2014г. по 0,4'!I221</f>
        <v>0</v>
      </c>
      <c r="J224" s="31">
        <f>'декабрь 2014г. по 6-10'!J224+'декабрь 2014г. по 0,4'!J221</f>
        <v>18</v>
      </c>
      <c r="K224" s="31">
        <f>'декабрь 2014г. по 6-10'!K224+'декабрь 2014г. по 0,4'!K221</f>
        <v>332</v>
      </c>
      <c r="L224" s="31">
        <f>'декабрь 2014г. по 6-10'!L224+'декабрь 2014г. по 0,4'!L221</f>
        <v>0</v>
      </c>
      <c r="M224" s="31">
        <f>'декабрь 2014г. по 6-10'!M224+'декабрь 2014г. по 0,4'!M221</f>
        <v>0</v>
      </c>
      <c r="N224" s="31">
        <f>'декабрь 2014г. по 6-10'!N224+'декабрь 2014г. по 0,4'!N221</f>
        <v>0</v>
      </c>
      <c r="O224" s="31">
        <f>'декабрь 2014г. по 6-10'!O224+'декабрь 2014г. по 0,4'!O221</f>
        <v>0</v>
      </c>
      <c r="P224" s="31">
        <f>'декабрь 2014г. по 6-10'!P224+'декабрь 2014г. по 0,4'!P221</f>
        <v>0</v>
      </c>
      <c r="Q224" s="31">
        <f>'декабрь 2014г. по 6-10'!Q224+'декабрь 2014г. по 0,4'!Q221</f>
        <v>0</v>
      </c>
    </row>
    <row r="225" spans="1:17" ht="12.75" customHeight="1" x14ac:dyDescent="0.2">
      <c r="A225" s="18"/>
      <c r="B225" s="53"/>
      <c r="C225" s="50" t="s">
        <v>287</v>
      </c>
      <c r="D225" s="31">
        <f>'декабрь 2014г. по 6-10'!D225+'декабрь 2014г. по 0,4'!D222</f>
        <v>8</v>
      </c>
      <c r="E225" s="31">
        <f>'декабрь 2014г. по 6-10'!E225+'декабрь 2014г. по 0,4'!E222</f>
        <v>87</v>
      </c>
      <c r="F225" s="31">
        <f>'декабрь 2014г. по 6-10'!F225+'декабрь 2014г. по 0,4'!F222</f>
        <v>8</v>
      </c>
      <c r="G225" s="31">
        <f>'декабрь 2014г. по 6-10'!G225+'декабрь 2014г. по 0,4'!G222</f>
        <v>72</v>
      </c>
      <c r="H225" s="31">
        <f>'декабрь 2014г. по 6-10'!H225+'декабрь 2014г. по 0,4'!H222</f>
        <v>0</v>
      </c>
      <c r="I225" s="31">
        <f>'декабрь 2014г. по 6-10'!I225+'декабрь 2014г. по 0,4'!I222</f>
        <v>0</v>
      </c>
      <c r="J225" s="31">
        <f>'декабрь 2014г. по 6-10'!J225+'декабрь 2014г. по 0,4'!J222</f>
        <v>8</v>
      </c>
      <c r="K225" s="31">
        <f>'декабрь 2014г. по 6-10'!K225+'декабрь 2014г. по 0,4'!K222</f>
        <v>87</v>
      </c>
      <c r="L225" s="31">
        <f>'декабрь 2014г. по 6-10'!L225+'декабрь 2014г. по 0,4'!L222</f>
        <v>0</v>
      </c>
      <c r="M225" s="31">
        <f>'декабрь 2014г. по 6-10'!M225+'декабрь 2014г. по 0,4'!M222</f>
        <v>0</v>
      </c>
      <c r="N225" s="31">
        <f>'декабрь 2014г. по 6-10'!N225+'декабрь 2014г. по 0,4'!N222</f>
        <v>0</v>
      </c>
      <c r="O225" s="31">
        <f>'декабрь 2014г. по 6-10'!O225+'декабрь 2014г. по 0,4'!O222</f>
        <v>0</v>
      </c>
      <c r="P225" s="31">
        <f>'декабрь 2014г. по 6-10'!P225+'декабрь 2014г. по 0,4'!P222</f>
        <v>0</v>
      </c>
      <c r="Q225" s="31">
        <f>'декабрь 2014г. по 6-10'!Q225+'декабрь 2014г. по 0,4'!Q222</f>
        <v>0</v>
      </c>
    </row>
    <row r="226" spans="1:17" ht="12.75" customHeight="1" x14ac:dyDescent="0.2">
      <c r="A226" s="18"/>
      <c r="B226" s="53"/>
      <c r="C226" s="50" t="s">
        <v>288</v>
      </c>
      <c r="D226" s="31">
        <f>'декабрь 2014г. по 6-10'!D226+'декабрь 2014г. по 0,4'!D223</f>
        <v>6</v>
      </c>
      <c r="E226" s="31">
        <f>'декабрь 2014г. по 6-10'!E226+'декабрь 2014г. по 0,4'!E223</f>
        <v>30.4</v>
      </c>
      <c r="F226" s="31">
        <f>'декабрь 2014г. по 6-10'!F226+'декабрь 2014г. по 0,4'!F223</f>
        <v>3</v>
      </c>
      <c r="G226" s="31">
        <f>'декабрь 2014г. по 6-10'!G226+'декабрь 2014г. по 0,4'!G223</f>
        <v>20.399999999999999</v>
      </c>
      <c r="H226" s="31">
        <f>'декабрь 2014г. по 6-10'!H226+'декабрь 2014г. по 0,4'!H223</f>
        <v>0</v>
      </c>
      <c r="I226" s="31">
        <f>'декабрь 2014г. по 6-10'!I226+'декабрь 2014г. по 0,4'!I223</f>
        <v>0</v>
      </c>
      <c r="J226" s="31">
        <f>'декабрь 2014г. по 6-10'!J226+'декабрь 2014г. по 0,4'!J223</f>
        <v>6</v>
      </c>
      <c r="K226" s="31">
        <f>'декабрь 2014г. по 6-10'!K226+'декабрь 2014г. по 0,4'!K223</f>
        <v>30.4</v>
      </c>
      <c r="L226" s="31">
        <f>'декабрь 2014г. по 6-10'!L226+'декабрь 2014г. по 0,4'!L223</f>
        <v>0</v>
      </c>
      <c r="M226" s="31">
        <f>'декабрь 2014г. по 6-10'!M226+'декабрь 2014г. по 0,4'!M223</f>
        <v>0</v>
      </c>
      <c r="N226" s="31">
        <f>'декабрь 2014г. по 6-10'!N226+'декабрь 2014г. по 0,4'!N223</f>
        <v>0</v>
      </c>
      <c r="O226" s="31">
        <f>'декабрь 2014г. по 6-10'!O226+'декабрь 2014г. по 0,4'!O223</f>
        <v>0</v>
      </c>
      <c r="P226" s="31">
        <f>'декабрь 2014г. по 6-10'!P226+'декабрь 2014г. по 0,4'!P223</f>
        <v>0</v>
      </c>
      <c r="Q226" s="31">
        <f>'декабрь 2014г. по 6-10'!Q226+'декабрь 2014г. по 0,4'!Q223</f>
        <v>0</v>
      </c>
    </row>
    <row r="227" spans="1:17" ht="12.75" customHeight="1" x14ac:dyDescent="0.2">
      <c r="A227" s="18"/>
      <c r="B227" s="53"/>
      <c r="C227" s="50" t="s">
        <v>289</v>
      </c>
      <c r="D227" s="31">
        <f>'декабрь 2014г. по 6-10'!D227+'декабрь 2014г. по 0,4'!D224</f>
        <v>22</v>
      </c>
      <c r="E227" s="31">
        <f>'декабрь 2014г. по 6-10'!E227+'декабрь 2014г. по 0,4'!E224</f>
        <v>259</v>
      </c>
      <c r="F227" s="31">
        <f>'декабрь 2014г. по 6-10'!F227+'декабрь 2014г. по 0,4'!F224</f>
        <v>22</v>
      </c>
      <c r="G227" s="31">
        <f>'декабрь 2014г. по 6-10'!G227+'декабрь 2014г. по 0,4'!G224</f>
        <v>259</v>
      </c>
      <c r="H227" s="31">
        <f>'декабрь 2014г. по 6-10'!H227+'декабрь 2014г. по 0,4'!H224</f>
        <v>0</v>
      </c>
      <c r="I227" s="31">
        <f>'декабрь 2014г. по 6-10'!I227+'декабрь 2014г. по 0,4'!I224</f>
        <v>0</v>
      </c>
      <c r="J227" s="31">
        <f>'декабрь 2014г. по 6-10'!J227+'декабрь 2014г. по 0,4'!J224</f>
        <v>21</v>
      </c>
      <c r="K227" s="31">
        <f>'декабрь 2014г. по 6-10'!K227+'декабрь 2014г. по 0,4'!K224</f>
        <v>199</v>
      </c>
      <c r="L227" s="31">
        <f>'декабрь 2014г. по 6-10'!L227+'декабрь 2014г. по 0,4'!L224</f>
        <v>0</v>
      </c>
      <c r="M227" s="31">
        <f>'декабрь 2014г. по 6-10'!M227+'декабрь 2014г. по 0,4'!M224</f>
        <v>0</v>
      </c>
      <c r="N227" s="31">
        <f>'декабрь 2014г. по 6-10'!N227+'декабрь 2014г. по 0,4'!N224</f>
        <v>0</v>
      </c>
      <c r="O227" s="31">
        <f>'декабрь 2014г. по 6-10'!O227+'декабрь 2014г. по 0,4'!O224</f>
        <v>0</v>
      </c>
      <c r="P227" s="31">
        <f>'декабрь 2014г. по 6-10'!P227+'декабрь 2014г. по 0,4'!P224</f>
        <v>0</v>
      </c>
      <c r="Q227" s="31">
        <f>'декабрь 2014г. по 6-10'!Q227+'декабрь 2014г. по 0,4'!Q224</f>
        <v>0</v>
      </c>
    </row>
    <row r="228" spans="1:17" ht="12.75" customHeight="1" x14ac:dyDescent="0.2">
      <c r="A228" s="18"/>
      <c r="B228" s="53"/>
      <c r="C228" s="50" t="s">
        <v>290</v>
      </c>
      <c r="D228" s="31">
        <f>'декабрь 2014г. по 6-10'!D228+'декабрь 2014г. по 0,4'!D225</f>
        <v>1</v>
      </c>
      <c r="E228" s="31">
        <f>'декабрь 2014г. по 6-10'!E228+'декабрь 2014г. по 0,4'!E225</f>
        <v>4.4000000000000004</v>
      </c>
      <c r="F228" s="31">
        <f>'декабрь 2014г. по 6-10'!F228+'декабрь 2014г. по 0,4'!F225</f>
        <v>1</v>
      </c>
      <c r="G228" s="31">
        <f>'декабрь 2014г. по 6-10'!G228+'декабрь 2014г. по 0,4'!G225</f>
        <v>4.4000000000000004</v>
      </c>
      <c r="H228" s="31">
        <f>'декабрь 2014г. по 6-10'!H228+'декабрь 2014г. по 0,4'!H225</f>
        <v>0</v>
      </c>
      <c r="I228" s="31">
        <f>'декабрь 2014г. по 6-10'!I228+'декабрь 2014г. по 0,4'!I225</f>
        <v>0</v>
      </c>
      <c r="J228" s="31">
        <f>'декабрь 2014г. по 6-10'!J228+'декабрь 2014г. по 0,4'!J225</f>
        <v>1</v>
      </c>
      <c r="K228" s="31">
        <f>'декабрь 2014г. по 6-10'!K228+'декабрь 2014г. по 0,4'!K225</f>
        <v>4.4000000000000004</v>
      </c>
      <c r="L228" s="31">
        <f>'декабрь 2014г. по 6-10'!L228+'декабрь 2014г. по 0,4'!L225</f>
        <v>0</v>
      </c>
      <c r="M228" s="31">
        <f>'декабрь 2014г. по 6-10'!M228+'декабрь 2014г. по 0,4'!M225</f>
        <v>0</v>
      </c>
      <c r="N228" s="31">
        <f>'декабрь 2014г. по 6-10'!N228+'декабрь 2014г. по 0,4'!N225</f>
        <v>0</v>
      </c>
      <c r="O228" s="31">
        <f>'декабрь 2014г. по 6-10'!O228+'декабрь 2014г. по 0,4'!O225</f>
        <v>0</v>
      </c>
      <c r="P228" s="31">
        <f>'декабрь 2014г. по 6-10'!P228+'декабрь 2014г. по 0,4'!P225</f>
        <v>0</v>
      </c>
      <c r="Q228" s="31">
        <f>'декабрь 2014г. по 6-10'!Q228+'декабрь 2014г. по 0,4'!Q225</f>
        <v>0</v>
      </c>
    </row>
    <row r="229" spans="1:17" ht="12.75" customHeight="1" x14ac:dyDescent="0.2">
      <c r="A229" s="18"/>
      <c r="B229" s="53"/>
      <c r="C229" s="50" t="s">
        <v>291</v>
      </c>
      <c r="D229" s="31">
        <f>'декабрь 2014г. по 6-10'!D229+'декабрь 2014г. по 0,4'!D226</f>
        <v>1</v>
      </c>
      <c r="E229" s="31">
        <f>'декабрь 2014г. по 6-10'!E229+'декабрь 2014г. по 0,4'!E226</f>
        <v>7</v>
      </c>
      <c r="F229" s="31">
        <f>'декабрь 2014г. по 6-10'!F229+'декабрь 2014г. по 0,4'!F226</f>
        <v>1</v>
      </c>
      <c r="G229" s="31">
        <f>'декабрь 2014г. по 6-10'!G229+'декабрь 2014г. по 0,4'!G226</f>
        <v>7</v>
      </c>
      <c r="H229" s="31">
        <f>'декабрь 2014г. по 6-10'!H229+'декабрь 2014г. по 0,4'!H226</f>
        <v>0</v>
      </c>
      <c r="I229" s="31">
        <f>'декабрь 2014г. по 6-10'!I229+'декабрь 2014г. по 0,4'!I226</f>
        <v>0</v>
      </c>
      <c r="J229" s="31">
        <f>'декабрь 2014г. по 6-10'!J229+'декабрь 2014г. по 0,4'!J226</f>
        <v>1</v>
      </c>
      <c r="K229" s="31">
        <f>'декабрь 2014г. по 6-10'!K229+'декабрь 2014г. по 0,4'!K226</f>
        <v>7</v>
      </c>
      <c r="L229" s="31">
        <f>'декабрь 2014г. по 6-10'!L229+'декабрь 2014г. по 0,4'!L226</f>
        <v>0</v>
      </c>
      <c r="M229" s="31">
        <f>'декабрь 2014г. по 6-10'!M229+'декабрь 2014г. по 0,4'!M226</f>
        <v>0</v>
      </c>
      <c r="N229" s="31">
        <f>'декабрь 2014г. по 6-10'!N229+'декабрь 2014г. по 0,4'!N226</f>
        <v>0</v>
      </c>
      <c r="O229" s="31">
        <f>'декабрь 2014г. по 6-10'!O229+'декабрь 2014г. по 0,4'!O226</f>
        <v>0</v>
      </c>
      <c r="P229" s="31">
        <f>'декабрь 2014г. по 6-10'!P229+'декабрь 2014г. по 0,4'!P226</f>
        <v>0</v>
      </c>
      <c r="Q229" s="31">
        <f>'декабрь 2014г. по 6-10'!Q229+'декабрь 2014г. по 0,4'!Q226</f>
        <v>0</v>
      </c>
    </row>
    <row r="230" spans="1:17" ht="12.75" customHeight="1" x14ac:dyDescent="0.2">
      <c r="A230" s="18"/>
      <c r="B230" s="53"/>
      <c r="C230" s="50" t="s">
        <v>292</v>
      </c>
      <c r="D230" s="31">
        <f>'декабрь 2014г. по 6-10'!D230+'декабрь 2014г. по 0,4'!D227</f>
        <v>1</v>
      </c>
      <c r="E230" s="31">
        <f>'декабрь 2014г. по 6-10'!E230+'декабрь 2014г. по 0,4'!E227</f>
        <v>15</v>
      </c>
      <c r="F230" s="31">
        <f>'декабрь 2014г. по 6-10'!F230+'декабрь 2014г. по 0,4'!F227</f>
        <v>1</v>
      </c>
      <c r="G230" s="31">
        <f>'декабрь 2014г. по 6-10'!G230+'декабрь 2014г. по 0,4'!G227</f>
        <v>15</v>
      </c>
      <c r="H230" s="31">
        <f>'декабрь 2014г. по 6-10'!H230+'декабрь 2014г. по 0,4'!H227</f>
        <v>0</v>
      </c>
      <c r="I230" s="31">
        <f>'декабрь 2014г. по 6-10'!I230+'декабрь 2014г. по 0,4'!I227</f>
        <v>0</v>
      </c>
      <c r="J230" s="31">
        <f>'декабрь 2014г. по 6-10'!J230+'декабрь 2014г. по 0,4'!J227</f>
        <v>1</v>
      </c>
      <c r="K230" s="31">
        <f>'декабрь 2014г. по 6-10'!K230+'декабрь 2014г. по 0,4'!K227</f>
        <v>15</v>
      </c>
      <c r="L230" s="31">
        <f>'декабрь 2014г. по 6-10'!L230+'декабрь 2014г. по 0,4'!L227</f>
        <v>0</v>
      </c>
      <c r="M230" s="31">
        <f>'декабрь 2014г. по 6-10'!M230+'декабрь 2014г. по 0,4'!M227</f>
        <v>0</v>
      </c>
      <c r="N230" s="31">
        <f>'декабрь 2014г. по 6-10'!N230+'декабрь 2014г. по 0,4'!N227</f>
        <v>0</v>
      </c>
      <c r="O230" s="31">
        <f>'декабрь 2014г. по 6-10'!O230+'декабрь 2014г. по 0,4'!O227</f>
        <v>0</v>
      </c>
      <c r="P230" s="31">
        <f>'декабрь 2014г. по 6-10'!P230+'декабрь 2014г. по 0,4'!P227</f>
        <v>0</v>
      </c>
      <c r="Q230" s="31">
        <f>'декабрь 2014г. по 6-10'!Q230+'декабрь 2014г. по 0,4'!Q227</f>
        <v>0</v>
      </c>
    </row>
    <row r="231" spans="1:17" ht="12.75" customHeight="1" x14ac:dyDescent="0.2">
      <c r="A231" s="18"/>
      <c r="B231" s="53"/>
      <c r="C231" s="50" t="s">
        <v>293</v>
      </c>
      <c r="D231" s="31">
        <f>'декабрь 2014г. по 6-10'!D231+'декабрь 2014г. по 0,4'!D228</f>
        <v>0</v>
      </c>
      <c r="E231" s="31">
        <f>'декабрь 2014г. по 6-10'!E231+'декабрь 2014г. по 0,4'!E228</f>
        <v>0</v>
      </c>
      <c r="F231" s="31">
        <f>'декабрь 2014г. по 6-10'!F231+'декабрь 2014г. по 0,4'!F228</f>
        <v>0</v>
      </c>
      <c r="G231" s="31">
        <f>'декабрь 2014г. по 6-10'!G231+'декабрь 2014г. по 0,4'!G228</f>
        <v>0</v>
      </c>
      <c r="H231" s="31">
        <f>'декабрь 2014г. по 6-10'!H231+'декабрь 2014г. по 0,4'!H228</f>
        <v>0</v>
      </c>
      <c r="I231" s="31">
        <f>'декабрь 2014г. по 6-10'!I231+'декабрь 2014г. по 0,4'!I228</f>
        <v>0</v>
      </c>
      <c r="J231" s="31">
        <f>'декабрь 2014г. по 6-10'!J231+'декабрь 2014г. по 0,4'!J228</f>
        <v>0</v>
      </c>
      <c r="K231" s="31">
        <f>'декабрь 2014г. по 6-10'!K231+'декабрь 2014г. по 0,4'!K228</f>
        <v>0</v>
      </c>
      <c r="L231" s="31">
        <f>'декабрь 2014г. по 6-10'!L231+'декабрь 2014г. по 0,4'!L228</f>
        <v>0</v>
      </c>
      <c r="M231" s="31">
        <f>'декабрь 2014г. по 6-10'!M231+'декабрь 2014г. по 0,4'!M228</f>
        <v>0</v>
      </c>
      <c r="N231" s="31">
        <f>'декабрь 2014г. по 6-10'!N231+'декабрь 2014г. по 0,4'!N228</f>
        <v>0</v>
      </c>
      <c r="O231" s="31">
        <f>'декабрь 2014г. по 6-10'!O231+'декабрь 2014г. по 0,4'!O228</f>
        <v>0</v>
      </c>
      <c r="P231" s="31">
        <f>'декабрь 2014г. по 6-10'!P231+'декабрь 2014г. по 0,4'!P228</f>
        <v>0</v>
      </c>
      <c r="Q231" s="31">
        <f>'декабрь 2014г. по 6-10'!Q231+'декабрь 2014г. по 0,4'!Q228</f>
        <v>0</v>
      </c>
    </row>
    <row r="232" spans="1:17" ht="12.75" customHeight="1" x14ac:dyDescent="0.2">
      <c r="A232" s="18"/>
      <c r="B232" s="53"/>
      <c r="C232" s="50" t="s">
        <v>294</v>
      </c>
      <c r="D232" s="31">
        <f>'декабрь 2014г. по 6-10'!D232+'декабрь 2014г. по 0,4'!D229</f>
        <v>25</v>
      </c>
      <c r="E232" s="31">
        <f>'декабрь 2014г. по 6-10'!E232+'декабрь 2014г. по 0,4'!E229</f>
        <v>337</v>
      </c>
      <c r="F232" s="31">
        <f>'декабрь 2014г. по 6-10'!F232+'декабрь 2014г. по 0,4'!F229</f>
        <v>24</v>
      </c>
      <c r="G232" s="31">
        <f>'декабрь 2014г. по 6-10'!G232+'декабрь 2014г. по 0,4'!G229</f>
        <v>297</v>
      </c>
      <c r="H232" s="31">
        <f>'декабрь 2014г. по 6-10'!H232+'декабрь 2014г. по 0,4'!H229</f>
        <v>0</v>
      </c>
      <c r="I232" s="31">
        <f>'декабрь 2014г. по 6-10'!I232+'декабрь 2014г. по 0,4'!I229</f>
        <v>0</v>
      </c>
      <c r="J232" s="31">
        <f>'декабрь 2014г. по 6-10'!J232+'декабрь 2014г. по 0,4'!J229</f>
        <v>22</v>
      </c>
      <c r="K232" s="31">
        <f>'декабрь 2014г. по 6-10'!K232+'декабрь 2014г. по 0,4'!K229</f>
        <v>278</v>
      </c>
      <c r="L232" s="31">
        <f>'декабрь 2014г. по 6-10'!L232+'декабрь 2014г. по 0,4'!L229</f>
        <v>0</v>
      </c>
      <c r="M232" s="31">
        <f>'декабрь 2014г. по 6-10'!M232+'декабрь 2014г. по 0,4'!M229</f>
        <v>0</v>
      </c>
      <c r="N232" s="31">
        <f>'декабрь 2014г. по 6-10'!N232+'декабрь 2014г. по 0,4'!N229</f>
        <v>0</v>
      </c>
      <c r="O232" s="31">
        <f>'декабрь 2014г. по 6-10'!O232+'декабрь 2014г. по 0,4'!O229</f>
        <v>0</v>
      </c>
      <c r="P232" s="31">
        <f>'декабрь 2014г. по 6-10'!P232+'декабрь 2014г. по 0,4'!P229</f>
        <v>0</v>
      </c>
      <c r="Q232" s="31">
        <f>'декабрь 2014г. по 6-10'!Q232+'декабрь 2014г. по 0,4'!Q229</f>
        <v>0</v>
      </c>
    </row>
    <row r="233" spans="1:17" ht="12.75" customHeight="1" x14ac:dyDescent="0.2">
      <c r="A233" s="18"/>
      <c r="B233" s="53"/>
      <c r="C233" s="50" t="s">
        <v>295</v>
      </c>
      <c r="D233" s="31">
        <f>'декабрь 2014г. по 6-10'!D233+'декабрь 2014г. по 0,4'!D230</f>
        <v>11</v>
      </c>
      <c r="E233" s="31">
        <f>'декабрь 2014г. по 6-10'!E233+'декабрь 2014г. по 0,4'!E230</f>
        <v>110</v>
      </c>
      <c r="F233" s="31">
        <f>'декабрь 2014г. по 6-10'!F233+'декабрь 2014г. по 0,4'!F230</f>
        <v>9</v>
      </c>
      <c r="G233" s="31">
        <f>'декабрь 2014г. по 6-10'!G233+'декабрь 2014г. по 0,4'!G230</f>
        <v>90</v>
      </c>
      <c r="H233" s="31">
        <f>'декабрь 2014г. по 6-10'!H233+'декабрь 2014г. по 0,4'!H230</f>
        <v>0</v>
      </c>
      <c r="I233" s="31">
        <f>'декабрь 2014г. по 6-10'!I233+'декабрь 2014г. по 0,4'!I230</f>
        <v>0</v>
      </c>
      <c r="J233" s="31">
        <f>'декабрь 2014г. по 6-10'!J233+'декабрь 2014г. по 0,4'!J230</f>
        <v>11</v>
      </c>
      <c r="K233" s="31">
        <f>'декабрь 2014г. по 6-10'!K233+'декабрь 2014г. по 0,4'!K230</f>
        <v>110</v>
      </c>
      <c r="L233" s="31">
        <f>'декабрь 2014г. по 6-10'!L233+'декабрь 2014г. по 0,4'!L230</f>
        <v>0</v>
      </c>
      <c r="M233" s="31">
        <f>'декабрь 2014г. по 6-10'!M233+'декабрь 2014г. по 0,4'!M230</f>
        <v>0</v>
      </c>
      <c r="N233" s="31">
        <f>'декабрь 2014г. по 6-10'!N233+'декабрь 2014г. по 0,4'!N230</f>
        <v>0</v>
      </c>
      <c r="O233" s="31">
        <f>'декабрь 2014г. по 6-10'!O233+'декабрь 2014г. по 0,4'!O230</f>
        <v>0</v>
      </c>
      <c r="P233" s="31">
        <f>'декабрь 2014г. по 6-10'!P233+'декабрь 2014г. по 0,4'!P230</f>
        <v>0</v>
      </c>
      <c r="Q233" s="31">
        <f>'декабрь 2014г. по 6-10'!Q233+'декабрь 2014г. по 0,4'!Q230</f>
        <v>0</v>
      </c>
    </row>
    <row r="234" spans="1:17" ht="12.75" customHeight="1" x14ac:dyDescent="0.2">
      <c r="A234" s="18"/>
      <c r="B234" s="53"/>
      <c r="C234" s="50" t="s">
        <v>296</v>
      </c>
      <c r="D234" s="31">
        <f>'декабрь 2014г. по 6-10'!D234+'декабрь 2014г. по 0,4'!D231</f>
        <v>13</v>
      </c>
      <c r="E234" s="31">
        <f>'декабрь 2014г. по 6-10'!E234+'декабрь 2014г. по 0,4'!E231</f>
        <v>114</v>
      </c>
      <c r="F234" s="31">
        <f>'декабрь 2014г. по 6-10'!F234+'декабрь 2014г. по 0,4'!F231</f>
        <v>13</v>
      </c>
      <c r="G234" s="31">
        <f>'декабрь 2014г. по 6-10'!G234+'декабрь 2014г. по 0,4'!G231</f>
        <v>114</v>
      </c>
      <c r="H234" s="31">
        <f>'декабрь 2014г. по 6-10'!H234+'декабрь 2014г. по 0,4'!H231</f>
        <v>0</v>
      </c>
      <c r="I234" s="31">
        <f>'декабрь 2014г. по 6-10'!I234+'декабрь 2014г. по 0,4'!I231</f>
        <v>0</v>
      </c>
      <c r="J234" s="31">
        <f>'декабрь 2014г. по 6-10'!J234+'декабрь 2014г. по 0,4'!J231</f>
        <v>13</v>
      </c>
      <c r="K234" s="31">
        <f>'декабрь 2014г. по 6-10'!K234+'декабрь 2014г. по 0,4'!K231</f>
        <v>114</v>
      </c>
      <c r="L234" s="31">
        <f>'декабрь 2014г. по 6-10'!L234+'декабрь 2014г. по 0,4'!L231</f>
        <v>0</v>
      </c>
      <c r="M234" s="31">
        <f>'декабрь 2014г. по 6-10'!M234+'декабрь 2014г. по 0,4'!M231</f>
        <v>0</v>
      </c>
      <c r="N234" s="31">
        <f>'декабрь 2014г. по 6-10'!N234+'декабрь 2014г. по 0,4'!N231</f>
        <v>0</v>
      </c>
      <c r="O234" s="31">
        <f>'декабрь 2014г. по 6-10'!O234+'декабрь 2014г. по 0,4'!O231</f>
        <v>0</v>
      </c>
      <c r="P234" s="31">
        <f>'декабрь 2014г. по 6-10'!P234+'декабрь 2014г. по 0,4'!P231</f>
        <v>0</v>
      </c>
      <c r="Q234" s="31">
        <f>'декабрь 2014г. по 6-10'!Q234+'декабрь 2014г. по 0,4'!Q231</f>
        <v>0</v>
      </c>
    </row>
    <row r="235" spans="1:17" ht="12.75" customHeight="1" x14ac:dyDescent="0.2">
      <c r="A235" s="18"/>
      <c r="B235" s="53"/>
      <c r="C235" s="50" t="s">
        <v>297</v>
      </c>
      <c r="D235" s="31">
        <f>'декабрь 2014г. по 6-10'!D235+'декабрь 2014г. по 0,4'!D232</f>
        <v>1</v>
      </c>
      <c r="E235" s="31">
        <f>'декабрь 2014г. по 6-10'!E235+'декабрь 2014г. по 0,4'!E232</f>
        <v>10</v>
      </c>
      <c r="F235" s="31">
        <f>'декабрь 2014г. по 6-10'!F235+'декабрь 2014г. по 0,4'!F232</f>
        <v>1</v>
      </c>
      <c r="G235" s="31">
        <f>'декабрь 2014г. по 6-10'!G235+'декабрь 2014г. по 0,4'!G232</f>
        <v>10</v>
      </c>
      <c r="H235" s="31">
        <f>'декабрь 2014г. по 6-10'!H235+'декабрь 2014г. по 0,4'!H232</f>
        <v>0</v>
      </c>
      <c r="I235" s="31">
        <f>'декабрь 2014г. по 6-10'!I235+'декабрь 2014г. по 0,4'!I232</f>
        <v>0</v>
      </c>
      <c r="J235" s="31">
        <f>'декабрь 2014г. по 6-10'!J235+'декабрь 2014г. по 0,4'!J232</f>
        <v>1</v>
      </c>
      <c r="K235" s="31">
        <f>'декабрь 2014г. по 6-10'!K235+'декабрь 2014г. по 0,4'!K232</f>
        <v>10</v>
      </c>
      <c r="L235" s="31">
        <f>'декабрь 2014г. по 6-10'!L235+'декабрь 2014г. по 0,4'!L232</f>
        <v>0</v>
      </c>
      <c r="M235" s="31">
        <f>'декабрь 2014г. по 6-10'!M235+'декабрь 2014г. по 0,4'!M232</f>
        <v>0</v>
      </c>
      <c r="N235" s="31">
        <f>'декабрь 2014г. по 6-10'!N235+'декабрь 2014г. по 0,4'!N232</f>
        <v>0</v>
      </c>
      <c r="O235" s="31">
        <f>'декабрь 2014г. по 6-10'!O235+'декабрь 2014г. по 0,4'!O232</f>
        <v>0</v>
      </c>
      <c r="P235" s="31">
        <f>'декабрь 2014г. по 6-10'!P235+'декабрь 2014г. по 0,4'!P232</f>
        <v>0</v>
      </c>
      <c r="Q235" s="31">
        <f>'декабрь 2014г. по 6-10'!Q235+'декабрь 2014г. по 0,4'!Q232</f>
        <v>0</v>
      </c>
    </row>
    <row r="236" spans="1:17" ht="12.75" customHeight="1" x14ac:dyDescent="0.2">
      <c r="A236" s="18"/>
      <c r="B236" s="53"/>
      <c r="C236" s="50" t="s">
        <v>298</v>
      </c>
      <c r="D236" s="31">
        <f>'декабрь 2014г. по 6-10'!D236+'декабрь 2014г. по 0,4'!D233</f>
        <v>7</v>
      </c>
      <c r="E236" s="31">
        <f>'декабрь 2014г. по 6-10'!E236+'декабрь 2014г. по 0,4'!E233</f>
        <v>45</v>
      </c>
      <c r="F236" s="31">
        <f>'декабрь 2014г. по 6-10'!F236+'декабрь 2014г. по 0,4'!F233</f>
        <v>5</v>
      </c>
      <c r="G236" s="31">
        <f>'декабрь 2014г. по 6-10'!G236+'декабрь 2014г. по 0,4'!G233</f>
        <v>30</v>
      </c>
      <c r="H236" s="31">
        <f>'декабрь 2014г. по 6-10'!H236+'декабрь 2014г. по 0,4'!H233</f>
        <v>0</v>
      </c>
      <c r="I236" s="31">
        <f>'декабрь 2014г. по 6-10'!I236+'декабрь 2014г. по 0,4'!I233</f>
        <v>0</v>
      </c>
      <c r="J236" s="31">
        <f>'декабрь 2014г. по 6-10'!J236+'декабрь 2014г. по 0,4'!J233</f>
        <v>7</v>
      </c>
      <c r="K236" s="31">
        <f>'декабрь 2014г. по 6-10'!K236+'декабрь 2014г. по 0,4'!K233</f>
        <v>45</v>
      </c>
      <c r="L236" s="31">
        <f>'декабрь 2014г. по 6-10'!L236+'декабрь 2014г. по 0,4'!L233</f>
        <v>0</v>
      </c>
      <c r="M236" s="31">
        <f>'декабрь 2014г. по 6-10'!M236+'декабрь 2014г. по 0,4'!M233</f>
        <v>0</v>
      </c>
      <c r="N236" s="31">
        <f>'декабрь 2014г. по 6-10'!N236+'декабрь 2014г. по 0,4'!N233</f>
        <v>0</v>
      </c>
      <c r="O236" s="31">
        <f>'декабрь 2014г. по 6-10'!O236+'декабрь 2014г. по 0,4'!O233</f>
        <v>0</v>
      </c>
      <c r="P236" s="31">
        <f>'декабрь 2014г. по 6-10'!P236+'декабрь 2014г. по 0,4'!P233</f>
        <v>0</v>
      </c>
      <c r="Q236" s="31">
        <f>'декабрь 2014г. по 6-10'!Q236+'декабрь 2014г. по 0,4'!Q233</f>
        <v>0</v>
      </c>
    </row>
    <row r="237" spans="1:17" ht="12.75" customHeight="1" x14ac:dyDescent="0.2">
      <c r="A237" s="18"/>
      <c r="B237" s="53"/>
      <c r="C237" s="50" t="s">
        <v>299</v>
      </c>
      <c r="D237" s="31">
        <f>'декабрь 2014г. по 6-10'!D237+'декабрь 2014г. по 0,4'!D234</f>
        <v>5</v>
      </c>
      <c r="E237" s="31">
        <f>'декабрь 2014г. по 6-10'!E237+'декабрь 2014г. по 0,4'!E234</f>
        <v>25</v>
      </c>
      <c r="F237" s="31">
        <f>'декабрь 2014г. по 6-10'!F237+'декабрь 2014г. по 0,4'!F234</f>
        <v>4</v>
      </c>
      <c r="G237" s="31">
        <f>'декабрь 2014г. по 6-10'!G237+'декабрь 2014г. по 0,4'!G234</f>
        <v>20</v>
      </c>
      <c r="H237" s="31">
        <f>'декабрь 2014г. по 6-10'!H237+'декабрь 2014г. по 0,4'!H234</f>
        <v>0</v>
      </c>
      <c r="I237" s="31">
        <f>'декабрь 2014г. по 6-10'!I237+'декабрь 2014г. по 0,4'!I234</f>
        <v>0</v>
      </c>
      <c r="J237" s="31">
        <f>'декабрь 2014г. по 6-10'!J237+'декабрь 2014г. по 0,4'!J234</f>
        <v>5</v>
      </c>
      <c r="K237" s="31">
        <f>'декабрь 2014г. по 6-10'!K237+'декабрь 2014г. по 0,4'!K234</f>
        <v>25</v>
      </c>
      <c r="L237" s="31">
        <f>'декабрь 2014г. по 6-10'!L237+'декабрь 2014г. по 0,4'!L234</f>
        <v>0</v>
      </c>
      <c r="M237" s="31">
        <f>'декабрь 2014г. по 6-10'!M237+'декабрь 2014г. по 0,4'!M234</f>
        <v>0</v>
      </c>
      <c r="N237" s="31">
        <f>'декабрь 2014г. по 6-10'!N237+'декабрь 2014г. по 0,4'!N234</f>
        <v>0</v>
      </c>
      <c r="O237" s="31">
        <f>'декабрь 2014г. по 6-10'!O237+'декабрь 2014г. по 0,4'!O234</f>
        <v>0</v>
      </c>
      <c r="P237" s="31">
        <f>'декабрь 2014г. по 6-10'!P237+'декабрь 2014г. по 0,4'!P234</f>
        <v>0</v>
      </c>
      <c r="Q237" s="31">
        <f>'декабрь 2014г. по 6-10'!Q237+'декабрь 2014г. по 0,4'!Q234</f>
        <v>0</v>
      </c>
    </row>
    <row r="238" spans="1:17" ht="12.75" customHeight="1" x14ac:dyDescent="0.2">
      <c r="A238" s="18"/>
      <c r="B238" s="53"/>
      <c r="C238" s="50" t="s">
        <v>300</v>
      </c>
      <c r="D238" s="31">
        <f>'декабрь 2014г. по 6-10'!D238+'декабрь 2014г. по 0,4'!D235</f>
        <v>19</v>
      </c>
      <c r="E238" s="31">
        <f>'декабрь 2014г. по 6-10'!E238+'декабрь 2014г. по 0,4'!E235</f>
        <v>228</v>
      </c>
      <c r="F238" s="31">
        <f>'декабрь 2014г. по 6-10'!F238+'декабрь 2014г. по 0,4'!F235</f>
        <v>19</v>
      </c>
      <c r="G238" s="31">
        <f>'декабрь 2014г. по 6-10'!G238+'декабрь 2014г. по 0,4'!G235</f>
        <v>228</v>
      </c>
      <c r="H238" s="31">
        <f>'декабрь 2014г. по 6-10'!H238+'декабрь 2014г. по 0,4'!H235</f>
        <v>0</v>
      </c>
      <c r="I238" s="31">
        <f>'декабрь 2014г. по 6-10'!I238+'декабрь 2014г. по 0,4'!I235</f>
        <v>0</v>
      </c>
      <c r="J238" s="31">
        <f>'декабрь 2014г. по 6-10'!J238+'декабрь 2014г. по 0,4'!J235</f>
        <v>19</v>
      </c>
      <c r="K238" s="31">
        <f>'декабрь 2014г. по 6-10'!K238+'декабрь 2014г. по 0,4'!K235</f>
        <v>228</v>
      </c>
      <c r="L238" s="31">
        <f>'декабрь 2014г. по 6-10'!L238+'декабрь 2014г. по 0,4'!L235</f>
        <v>0</v>
      </c>
      <c r="M238" s="31">
        <f>'декабрь 2014г. по 6-10'!M238+'декабрь 2014г. по 0,4'!M235</f>
        <v>0</v>
      </c>
      <c r="N238" s="31">
        <f>'декабрь 2014г. по 6-10'!N238+'декабрь 2014г. по 0,4'!N235</f>
        <v>0</v>
      </c>
      <c r="O238" s="31">
        <f>'декабрь 2014г. по 6-10'!O238+'декабрь 2014г. по 0,4'!O235</f>
        <v>0</v>
      </c>
      <c r="P238" s="31">
        <f>'декабрь 2014г. по 6-10'!P238+'декабрь 2014г. по 0,4'!P235</f>
        <v>0</v>
      </c>
      <c r="Q238" s="31">
        <f>'декабрь 2014г. по 6-10'!Q238+'декабрь 2014г. по 0,4'!Q235</f>
        <v>0</v>
      </c>
    </row>
    <row r="239" spans="1:17" ht="12.75" customHeight="1" x14ac:dyDescent="0.2">
      <c r="A239" s="18"/>
      <c r="B239" s="53"/>
      <c r="C239" s="50" t="s">
        <v>301</v>
      </c>
      <c r="D239" s="31">
        <f>'декабрь 2014г. по 6-10'!D239+'декабрь 2014г. по 0,4'!D236</f>
        <v>0</v>
      </c>
      <c r="E239" s="31">
        <f>'декабрь 2014г. по 6-10'!E239+'декабрь 2014г. по 0,4'!E236</f>
        <v>0</v>
      </c>
      <c r="F239" s="31">
        <f>'декабрь 2014г. по 6-10'!F239+'декабрь 2014г. по 0,4'!F236</f>
        <v>0</v>
      </c>
      <c r="G239" s="31">
        <f>'декабрь 2014г. по 6-10'!G239+'декабрь 2014г. по 0,4'!G236</f>
        <v>0</v>
      </c>
      <c r="H239" s="31">
        <f>'декабрь 2014г. по 6-10'!H239+'декабрь 2014г. по 0,4'!H236</f>
        <v>0</v>
      </c>
      <c r="I239" s="31">
        <f>'декабрь 2014г. по 6-10'!I239+'декабрь 2014г. по 0,4'!I236</f>
        <v>0</v>
      </c>
      <c r="J239" s="31">
        <f>'декабрь 2014г. по 6-10'!J239+'декабрь 2014г. по 0,4'!J236</f>
        <v>0</v>
      </c>
      <c r="K239" s="31">
        <f>'декабрь 2014г. по 6-10'!K239+'декабрь 2014г. по 0,4'!K236</f>
        <v>0</v>
      </c>
      <c r="L239" s="31">
        <f>'декабрь 2014г. по 6-10'!L239+'декабрь 2014г. по 0,4'!L236</f>
        <v>0</v>
      </c>
      <c r="M239" s="31">
        <f>'декабрь 2014г. по 6-10'!M239+'декабрь 2014г. по 0,4'!M236</f>
        <v>0</v>
      </c>
      <c r="N239" s="31">
        <f>'декабрь 2014г. по 6-10'!N239+'декабрь 2014г. по 0,4'!N236</f>
        <v>0</v>
      </c>
      <c r="O239" s="31">
        <f>'декабрь 2014г. по 6-10'!O239+'декабрь 2014г. по 0,4'!O236</f>
        <v>0</v>
      </c>
      <c r="P239" s="31">
        <f>'декабрь 2014г. по 6-10'!P239+'декабрь 2014г. по 0,4'!P236</f>
        <v>0</v>
      </c>
      <c r="Q239" s="31">
        <f>'декабрь 2014г. по 6-10'!Q239+'декабрь 2014г. по 0,4'!Q236</f>
        <v>0</v>
      </c>
    </row>
    <row r="240" spans="1:17" ht="12.75" customHeight="1" x14ac:dyDescent="0.2">
      <c r="A240" s="18"/>
      <c r="B240" s="53"/>
      <c r="C240" s="50" t="s">
        <v>302</v>
      </c>
      <c r="D240" s="31">
        <f>'декабрь 2014г. по 6-10'!D240+'декабрь 2014г. по 0,4'!D237</f>
        <v>49</v>
      </c>
      <c r="E240" s="31">
        <f>'декабрь 2014г. по 6-10'!E240+'декабрь 2014г. по 0,4'!E237</f>
        <v>382.5</v>
      </c>
      <c r="F240" s="31">
        <f>'декабрь 2014г. по 6-10'!F240+'декабрь 2014г. по 0,4'!F237</f>
        <v>15</v>
      </c>
      <c r="G240" s="31">
        <f>'декабрь 2014г. по 6-10'!G240+'декабрь 2014г. по 0,4'!G237</f>
        <v>65</v>
      </c>
      <c r="H240" s="31">
        <f>'декабрь 2014г. по 6-10'!H240+'декабрь 2014г. по 0,4'!H237</f>
        <v>0</v>
      </c>
      <c r="I240" s="31">
        <f>'декабрь 2014г. по 6-10'!I240+'декабрь 2014г. по 0,4'!I237</f>
        <v>0</v>
      </c>
      <c r="J240" s="31">
        <f>'декабрь 2014г. по 6-10'!J240+'декабрь 2014г. по 0,4'!J237</f>
        <v>49</v>
      </c>
      <c r="K240" s="31">
        <f>'декабрь 2014г. по 6-10'!K240+'декабрь 2014г. по 0,4'!K237</f>
        <v>382.5</v>
      </c>
      <c r="L240" s="31">
        <f>'декабрь 2014г. по 6-10'!L240+'декабрь 2014г. по 0,4'!L237</f>
        <v>0</v>
      </c>
      <c r="M240" s="31">
        <f>'декабрь 2014г. по 6-10'!M240+'декабрь 2014г. по 0,4'!M237</f>
        <v>0</v>
      </c>
      <c r="N240" s="31">
        <f>'декабрь 2014г. по 6-10'!N240+'декабрь 2014г. по 0,4'!N237</f>
        <v>0</v>
      </c>
      <c r="O240" s="31">
        <f>'декабрь 2014г. по 6-10'!O240+'декабрь 2014г. по 0,4'!O237</f>
        <v>0</v>
      </c>
      <c r="P240" s="31">
        <f>'декабрь 2014г. по 6-10'!P240+'декабрь 2014г. по 0,4'!P237</f>
        <v>0</v>
      </c>
      <c r="Q240" s="31">
        <f>'декабрь 2014г. по 6-10'!Q240+'декабрь 2014г. по 0,4'!Q237</f>
        <v>0</v>
      </c>
    </row>
    <row r="241" spans="1:17" ht="12.75" customHeight="1" x14ac:dyDescent="0.2">
      <c r="A241" s="18"/>
      <c r="B241" s="53"/>
      <c r="C241" s="50" t="s">
        <v>303</v>
      </c>
      <c r="D241" s="31">
        <f>'декабрь 2014г. по 6-10'!D241+'декабрь 2014г. по 0,4'!D238</f>
        <v>6</v>
      </c>
      <c r="E241" s="31">
        <f>'декабрь 2014г. по 6-10'!E241+'декабрь 2014г. по 0,4'!E238</f>
        <v>42</v>
      </c>
      <c r="F241" s="31">
        <f>'декабрь 2014г. по 6-10'!F241+'декабрь 2014г. по 0,4'!F238</f>
        <v>6</v>
      </c>
      <c r="G241" s="31">
        <f>'декабрь 2014г. по 6-10'!G241+'декабрь 2014г. по 0,4'!G238</f>
        <v>42</v>
      </c>
      <c r="H241" s="31">
        <f>'декабрь 2014г. по 6-10'!H241+'декабрь 2014г. по 0,4'!H238</f>
        <v>0</v>
      </c>
      <c r="I241" s="31">
        <f>'декабрь 2014г. по 6-10'!I241+'декабрь 2014г. по 0,4'!I238</f>
        <v>0</v>
      </c>
      <c r="J241" s="31">
        <f>'декабрь 2014г. по 6-10'!J241+'декабрь 2014г. по 0,4'!J238</f>
        <v>6</v>
      </c>
      <c r="K241" s="31">
        <f>'декабрь 2014г. по 6-10'!K241+'декабрь 2014г. по 0,4'!K238</f>
        <v>42</v>
      </c>
      <c r="L241" s="31">
        <f>'декабрь 2014г. по 6-10'!L241+'декабрь 2014г. по 0,4'!L238</f>
        <v>0</v>
      </c>
      <c r="M241" s="31">
        <f>'декабрь 2014г. по 6-10'!M241+'декабрь 2014г. по 0,4'!M238</f>
        <v>0</v>
      </c>
      <c r="N241" s="31">
        <f>'декабрь 2014г. по 6-10'!N241+'декабрь 2014г. по 0,4'!N238</f>
        <v>0</v>
      </c>
      <c r="O241" s="31">
        <f>'декабрь 2014г. по 6-10'!O241+'декабрь 2014г. по 0,4'!O238</f>
        <v>0</v>
      </c>
      <c r="P241" s="31">
        <f>'декабрь 2014г. по 6-10'!P241+'декабрь 2014г. по 0,4'!P238</f>
        <v>0</v>
      </c>
      <c r="Q241" s="31">
        <f>'декабрь 2014г. по 6-10'!Q241+'декабрь 2014г. по 0,4'!Q238</f>
        <v>0</v>
      </c>
    </row>
    <row r="242" spans="1:17" ht="12.75" customHeight="1" x14ac:dyDescent="0.2">
      <c r="A242" s="18"/>
      <c r="B242" s="53"/>
      <c r="C242" s="50" t="s">
        <v>359</v>
      </c>
      <c r="D242" s="31">
        <f>'декабрь 2014г. по 6-10'!D242+'декабрь 2014г. по 0,4'!D239</f>
        <v>1</v>
      </c>
      <c r="E242" s="31">
        <f>'декабрь 2014г. по 6-10'!E242+'декабрь 2014г. по 0,4'!E239</f>
        <v>8</v>
      </c>
      <c r="F242" s="31">
        <f>'декабрь 2014г. по 6-10'!F242+'декабрь 2014г. по 0,4'!F239</f>
        <v>1</v>
      </c>
      <c r="G242" s="31">
        <f>'декабрь 2014г. по 6-10'!G242+'декабрь 2014г. по 0,4'!G239</f>
        <v>8</v>
      </c>
      <c r="H242" s="31">
        <f>'декабрь 2014г. по 6-10'!H242+'декабрь 2014г. по 0,4'!H239</f>
        <v>0</v>
      </c>
      <c r="I242" s="31">
        <f>'декабрь 2014г. по 6-10'!I242+'декабрь 2014г. по 0,4'!I239</f>
        <v>0</v>
      </c>
      <c r="J242" s="31">
        <f>'декабрь 2014г. по 6-10'!J242+'декабрь 2014г. по 0,4'!J239</f>
        <v>1</v>
      </c>
      <c r="K242" s="31">
        <f>'декабрь 2014г. по 6-10'!K242+'декабрь 2014г. по 0,4'!K239</f>
        <v>8</v>
      </c>
      <c r="L242" s="31">
        <f>'декабрь 2014г. по 6-10'!L242+'декабрь 2014г. по 0,4'!L239</f>
        <v>0</v>
      </c>
      <c r="M242" s="31">
        <f>'декабрь 2014г. по 6-10'!M242+'декабрь 2014г. по 0,4'!M239</f>
        <v>0</v>
      </c>
      <c r="N242" s="31">
        <f>'декабрь 2014г. по 6-10'!N242+'декабрь 2014г. по 0,4'!N239</f>
        <v>0</v>
      </c>
      <c r="O242" s="31">
        <f>'декабрь 2014г. по 6-10'!O242+'декабрь 2014г. по 0,4'!O239</f>
        <v>0</v>
      </c>
      <c r="P242" s="31">
        <f>'декабрь 2014г. по 6-10'!P242+'декабрь 2014г. по 0,4'!P239</f>
        <v>0</v>
      </c>
      <c r="Q242" s="31">
        <f>'декабрь 2014г. по 6-10'!Q242+'декабрь 2014г. по 0,4'!Q239</f>
        <v>0</v>
      </c>
    </row>
    <row r="243" spans="1:17" ht="12.75" customHeight="1" x14ac:dyDescent="0.2">
      <c r="A243" s="18"/>
      <c r="B243" s="53"/>
      <c r="C243" s="50" t="s">
        <v>304</v>
      </c>
      <c r="D243" s="31">
        <f>'декабрь 2014г. по 6-10'!D243+'декабрь 2014г. по 0,4'!D240</f>
        <v>15</v>
      </c>
      <c r="E243" s="31">
        <f>'декабрь 2014г. по 6-10'!E243+'декабрь 2014г. по 0,4'!E240</f>
        <v>101</v>
      </c>
      <c r="F243" s="31">
        <f>'декабрь 2014г. по 6-10'!F243+'декабрь 2014г. по 0,4'!F240</f>
        <v>8</v>
      </c>
      <c r="G243" s="31">
        <f>'декабрь 2014г. по 6-10'!G243+'декабрь 2014г. по 0,4'!G240</f>
        <v>79</v>
      </c>
      <c r="H243" s="31">
        <f>'декабрь 2014г. по 6-10'!H243+'декабрь 2014г. по 0,4'!H240</f>
        <v>0</v>
      </c>
      <c r="I243" s="31">
        <f>'декабрь 2014г. по 6-10'!I243+'декабрь 2014г. по 0,4'!I240</f>
        <v>0</v>
      </c>
      <c r="J243" s="31">
        <f>'декабрь 2014г. по 6-10'!J243+'декабрь 2014г. по 0,4'!J240</f>
        <v>15</v>
      </c>
      <c r="K243" s="31">
        <f>'декабрь 2014г. по 6-10'!K243+'декабрь 2014г. по 0,4'!K240</f>
        <v>101</v>
      </c>
      <c r="L243" s="31">
        <f>'декабрь 2014г. по 6-10'!L243+'декабрь 2014г. по 0,4'!L240</f>
        <v>0</v>
      </c>
      <c r="M243" s="31">
        <f>'декабрь 2014г. по 6-10'!M243+'декабрь 2014г. по 0,4'!M240</f>
        <v>0</v>
      </c>
      <c r="N243" s="31">
        <f>'декабрь 2014г. по 6-10'!N243+'декабрь 2014г. по 0,4'!N240</f>
        <v>0</v>
      </c>
      <c r="O243" s="31">
        <f>'декабрь 2014г. по 6-10'!O243+'декабрь 2014г. по 0,4'!O240</f>
        <v>0</v>
      </c>
      <c r="P243" s="31">
        <f>'декабрь 2014г. по 6-10'!P243+'декабрь 2014г. по 0,4'!P240</f>
        <v>0</v>
      </c>
      <c r="Q243" s="31">
        <f>'декабрь 2014г. по 6-10'!Q243+'декабрь 2014г. по 0,4'!Q240</f>
        <v>0</v>
      </c>
    </row>
    <row r="244" spans="1:17" ht="12.75" customHeight="1" x14ac:dyDescent="0.2">
      <c r="A244" s="18"/>
      <c r="B244" s="18"/>
      <c r="C244" s="20" t="s">
        <v>30</v>
      </c>
      <c r="D244" s="68">
        <f>SUM(D204:D243)</f>
        <v>480</v>
      </c>
      <c r="E244" s="68">
        <f t="shared" ref="E244:Q244" si="6">SUM(E204:E243)</f>
        <v>9024.25</v>
      </c>
      <c r="F244" s="68">
        <f t="shared" si="6"/>
        <v>302</v>
      </c>
      <c r="G244" s="68">
        <f t="shared" si="6"/>
        <v>4056.1000000000004</v>
      </c>
      <c r="H244" s="68">
        <f t="shared" si="6"/>
        <v>0</v>
      </c>
      <c r="I244" s="68">
        <f t="shared" si="6"/>
        <v>0</v>
      </c>
      <c r="J244" s="68">
        <f t="shared" si="6"/>
        <v>439</v>
      </c>
      <c r="K244" s="68">
        <f t="shared" si="6"/>
        <v>6059.2499999999991</v>
      </c>
      <c r="L244" s="68">
        <f t="shared" si="6"/>
        <v>0</v>
      </c>
      <c r="M244" s="68">
        <f t="shared" si="6"/>
        <v>0</v>
      </c>
      <c r="N244" s="68">
        <f t="shared" si="6"/>
        <v>0</v>
      </c>
      <c r="O244" s="68">
        <f t="shared" si="6"/>
        <v>0</v>
      </c>
      <c r="P244" s="68">
        <f t="shared" si="6"/>
        <v>0</v>
      </c>
      <c r="Q244" s="68">
        <f t="shared" si="6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7">SUM(D244+D202+D195+D185+D153+D102+D64)</f>
        <v>3388</v>
      </c>
      <c r="E245" s="36">
        <f t="shared" si="7"/>
        <v>89232.09</v>
      </c>
      <c r="F245" s="36">
        <f t="shared" si="7"/>
        <v>2155</v>
      </c>
      <c r="G245" s="36">
        <f t="shared" si="7"/>
        <v>45062.899999999994</v>
      </c>
      <c r="H245" s="36">
        <f t="shared" si="7"/>
        <v>0</v>
      </c>
      <c r="I245" s="36">
        <f t="shared" si="7"/>
        <v>0</v>
      </c>
      <c r="J245" s="36">
        <f t="shared" si="7"/>
        <v>2674</v>
      </c>
      <c r="K245" s="36">
        <f t="shared" si="7"/>
        <v>34183</v>
      </c>
      <c r="L245" s="36">
        <f t="shared" si="7"/>
        <v>0</v>
      </c>
      <c r="M245" s="36">
        <f t="shared" si="7"/>
        <v>0</v>
      </c>
      <c r="N245" s="36">
        <f t="shared" si="7"/>
        <v>0</v>
      </c>
      <c r="O245" s="36">
        <f t="shared" si="7"/>
        <v>0</v>
      </c>
      <c r="P245" s="36">
        <f t="shared" si="7"/>
        <v>0</v>
      </c>
      <c r="Q245" s="36">
        <f t="shared" si="7"/>
        <v>0</v>
      </c>
    </row>
    <row r="246" spans="1:17" x14ac:dyDescent="0.2">
      <c r="A246" s="10" t="s">
        <v>10</v>
      </c>
      <c r="B246" s="127" t="s">
        <v>11</v>
      </c>
      <c r="C246" s="128"/>
      <c r="D246" s="37">
        <f t="shared" ref="D246" si="8">SUM(D245:D245)</f>
        <v>3388</v>
      </c>
      <c r="E246" s="38">
        <f t="shared" ref="E246:Q246" si="9">SUM(E245:E245)</f>
        <v>89232.09</v>
      </c>
      <c r="F246" s="37">
        <f t="shared" si="9"/>
        <v>2155</v>
      </c>
      <c r="G246" s="38">
        <f t="shared" si="9"/>
        <v>45062.899999999994</v>
      </c>
      <c r="H246" s="38">
        <f t="shared" si="9"/>
        <v>0</v>
      </c>
      <c r="I246" s="38">
        <f t="shared" si="9"/>
        <v>0</v>
      </c>
      <c r="J246" s="38">
        <f t="shared" si="9"/>
        <v>2674</v>
      </c>
      <c r="K246" s="38">
        <f t="shared" si="9"/>
        <v>34183</v>
      </c>
      <c r="L246" s="38">
        <f t="shared" si="9"/>
        <v>0</v>
      </c>
      <c r="M246" s="38">
        <f t="shared" si="9"/>
        <v>0</v>
      </c>
      <c r="N246" s="38">
        <f t="shared" si="9"/>
        <v>0</v>
      </c>
      <c r="O246" s="38">
        <f t="shared" si="9"/>
        <v>0</v>
      </c>
      <c r="P246" s="38">
        <f t="shared" si="9"/>
        <v>0</v>
      </c>
      <c r="Q246" s="38">
        <f t="shared" si="9"/>
        <v>0</v>
      </c>
    </row>
    <row r="248" spans="1:17" x14ac:dyDescent="0.2">
      <c r="A248" t="s">
        <v>384</v>
      </c>
    </row>
  </sheetData>
  <autoFilter ref="C21:C246"/>
  <customSheetViews>
    <customSheetView guid="{AE693E57-7143-42C6-BE39-5ABDB0359885}" showAutoFilter="1" topLeftCell="A217">
      <selection activeCell="F25" sqref="F25"/>
      <pageMargins left="0.75" right="0.75" top="1" bottom="1" header="0.5" footer="0.5"/>
      <pageSetup paperSize="9" scale="90" orientation="landscape" r:id="rId1"/>
      <headerFooter alignWithMargins="0"/>
      <autoFilter ref="C21:C246"/>
    </customSheetView>
    <customSheetView guid="{A743F9C7-8B89-4E8F-B91F-1FFB859064F2}" showAutoFilter="1" topLeftCell="C230">
      <selection activeCell="J248" sqref="J248"/>
      <pageMargins left="0.75" right="0.75" top="1" bottom="1" header="0.5" footer="0.5"/>
      <pageSetup paperSize="9" scale="90" orientation="landscape" r:id="rId2"/>
      <headerFooter alignWithMargins="0"/>
      <autoFilter ref="C21:C246"/>
    </customSheetView>
  </customSheetViews>
  <mergeCells count="27">
    <mergeCell ref="B246:C246"/>
    <mergeCell ref="C22:D22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I1:L1"/>
    <mergeCell ref="I2:L2"/>
    <mergeCell ref="I3:L3"/>
    <mergeCell ref="I5:L5"/>
    <mergeCell ref="I6:L6"/>
    <mergeCell ref="I7:L7"/>
    <mergeCell ref="B10:M10"/>
    <mergeCell ref="B11:M11"/>
    <mergeCell ref="B13:M13"/>
    <mergeCell ref="B14:M14"/>
    <mergeCell ref="B15:M15"/>
  </mergeCells>
  <pageMargins left="0.75" right="0.75" top="1" bottom="1" header="0.5" footer="0.5"/>
  <pageSetup paperSize="9" scale="90" orientation="landscape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4"/>
  <sheetViews>
    <sheetView topLeftCell="C1" zoomScale="85" zoomScaleNormal="85" workbookViewId="0">
      <pane ySplit="19" topLeftCell="A244" activePane="bottomLeft" state="frozen"/>
      <selection activeCell="C1" sqref="C1"/>
      <selection pane="bottomLeft" activeCell="K118" sqref="K118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10" width="11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5" ht="15.75" x14ac:dyDescent="0.25">
      <c r="I1" s="88"/>
      <c r="J1" s="88"/>
      <c r="K1" s="88"/>
      <c r="L1" s="88"/>
      <c r="M1" s="17" t="s">
        <v>16</v>
      </c>
      <c r="N1" s="17"/>
    </row>
    <row r="2" spans="1:15" ht="15.75" hidden="1" x14ac:dyDescent="0.25">
      <c r="B2" t="s">
        <v>0</v>
      </c>
      <c r="I2" s="88"/>
      <c r="J2" s="88"/>
      <c r="K2" s="88"/>
      <c r="L2" s="88"/>
      <c r="M2" s="17" t="s">
        <v>12</v>
      </c>
      <c r="N2" s="17"/>
      <c r="O2" s="17"/>
    </row>
    <row r="3" spans="1:15" ht="15.75" hidden="1" x14ac:dyDescent="0.25">
      <c r="I3" s="88"/>
      <c r="J3" s="88"/>
      <c r="K3" s="88"/>
      <c r="L3" s="88"/>
      <c r="M3" s="17" t="s">
        <v>13</v>
      </c>
      <c r="N3" s="17"/>
      <c r="O3" s="17"/>
    </row>
    <row r="4" spans="1:15" ht="15.75" hidden="1" x14ac:dyDescent="0.25">
      <c r="I4" s="32"/>
      <c r="J4" s="32"/>
      <c r="K4" s="32"/>
      <c r="L4" s="88"/>
      <c r="M4" s="17" t="s">
        <v>14</v>
      </c>
      <c r="N4" s="17"/>
      <c r="O4" s="17"/>
    </row>
    <row r="5" spans="1:15" ht="15.75" hidden="1" x14ac:dyDescent="0.25">
      <c r="I5" s="88"/>
      <c r="J5" s="88"/>
      <c r="K5" s="88"/>
      <c r="L5" s="88"/>
      <c r="M5" s="17" t="s">
        <v>15</v>
      </c>
      <c r="N5" s="17"/>
      <c r="O5" s="17"/>
    </row>
    <row r="6" spans="1:15" ht="15.75" hidden="1" x14ac:dyDescent="0.25">
      <c r="I6" s="88"/>
      <c r="J6" s="88"/>
      <c r="K6" s="88"/>
      <c r="L6" s="88"/>
      <c r="O6" s="17"/>
    </row>
    <row r="7" spans="1:15" ht="15.75" hidden="1" x14ac:dyDescent="0.25">
      <c r="I7" s="88"/>
      <c r="J7" s="88"/>
      <c r="K7" s="88"/>
      <c r="L7" s="88"/>
    </row>
    <row r="8" spans="1:15" ht="15.75" hidden="1" x14ac:dyDescent="0.25">
      <c r="I8" s="32"/>
      <c r="J8" s="32"/>
      <c r="K8" s="32"/>
    </row>
    <row r="9" spans="1:15" ht="12.75" hidden="1" customHeight="1" x14ac:dyDescent="0.2"/>
    <row r="10" spans="1:15" ht="12.75" hidden="1" customHeight="1" x14ac:dyDescent="0.25"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</row>
    <row r="11" spans="1:15" ht="15.75" hidden="1" x14ac:dyDescent="0.25"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</row>
    <row r="12" spans="1:15" ht="15.75" hidden="1" x14ac:dyDescent="0.25">
      <c r="B12" s="92"/>
      <c r="C12" s="92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5" ht="13.5" thickBot="1" x14ac:dyDescent="0.25"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</row>
    <row r="14" spans="1:15" ht="16.5" thickBot="1" x14ac:dyDescent="0.3">
      <c r="A14" s="89"/>
      <c r="B14" s="106" t="s">
        <v>364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5" x14ac:dyDescent="0.2">
      <c r="B15" s="93"/>
      <c r="C15" s="93"/>
      <c r="D15" s="93"/>
      <c r="E15" s="93"/>
      <c r="F15" s="93"/>
      <c r="G15" s="93"/>
      <c r="H15" s="93"/>
      <c r="I15" s="93"/>
      <c r="J15" s="93"/>
      <c r="K15" s="93"/>
      <c r="L15" s="93"/>
      <c r="M15" s="93"/>
    </row>
    <row r="16" spans="1:15" x14ac:dyDescent="0.2">
      <c r="B16" s="13"/>
      <c r="C16" s="13"/>
      <c r="D16" s="35"/>
      <c r="E16" s="35"/>
      <c r="F16" s="35"/>
      <c r="G16" s="35"/>
      <c r="H16" s="35"/>
      <c r="I16" s="35"/>
      <c r="J16" s="35"/>
      <c r="K16" s="35"/>
      <c r="L16" s="13"/>
      <c r="M16" s="13"/>
    </row>
    <row r="18" spans="1:17" ht="13.5" thickBot="1" x14ac:dyDescent="0.25"/>
    <row r="19" spans="1:17" ht="127.5" customHeight="1" thickTop="1" thickBot="1" x14ac:dyDescent="0.25">
      <c r="A19" s="2" t="s">
        <v>1</v>
      </c>
      <c r="B19" s="2" t="s">
        <v>2</v>
      </c>
      <c r="C19" s="3" t="s">
        <v>3</v>
      </c>
      <c r="D19" s="100" t="s">
        <v>17</v>
      </c>
      <c r="E19" s="100"/>
      <c r="F19" s="100" t="s">
        <v>4</v>
      </c>
      <c r="G19" s="62"/>
      <c r="H19" s="101" t="s">
        <v>5</v>
      </c>
      <c r="I19" s="95"/>
      <c r="J19" s="101" t="s">
        <v>6</v>
      </c>
      <c r="K19" s="95"/>
      <c r="L19" s="94" t="s">
        <v>18</v>
      </c>
      <c r="M19" s="95"/>
      <c r="N19" s="94" t="s">
        <v>19</v>
      </c>
      <c r="O19" s="95"/>
      <c r="P19" s="94" t="s">
        <v>20</v>
      </c>
      <c r="Q19" s="95"/>
    </row>
    <row r="20" spans="1:17" ht="13.5" thickTop="1" x14ac:dyDescent="0.2">
      <c r="A20" s="4">
        <v>1</v>
      </c>
      <c r="B20" s="5">
        <v>2</v>
      </c>
      <c r="C20" s="6">
        <v>3</v>
      </c>
      <c r="D20" s="102">
        <v>4</v>
      </c>
      <c r="E20" s="61"/>
      <c r="F20" s="96">
        <v>5</v>
      </c>
      <c r="G20" s="99"/>
      <c r="H20" s="97">
        <v>6</v>
      </c>
      <c r="I20" s="99"/>
      <c r="J20" s="97">
        <v>7</v>
      </c>
      <c r="K20" s="99"/>
      <c r="L20" s="98">
        <v>8</v>
      </c>
      <c r="M20" s="99"/>
      <c r="N20" s="98">
        <v>9</v>
      </c>
      <c r="O20" s="99"/>
      <c r="P20" s="98">
        <v>10</v>
      </c>
      <c r="Q20" s="99"/>
    </row>
    <row r="21" spans="1:17" ht="12.75" customHeight="1" x14ac:dyDescent="0.2">
      <c r="A21" s="7"/>
      <c r="B21" s="7"/>
      <c r="C21" s="7"/>
      <c r="D21" s="104" t="s">
        <v>7</v>
      </c>
      <c r="E21" s="104" t="s">
        <v>8</v>
      </c>
      <c r="F21" s="104" t="s">
        <v>7</v>
      </c>
      <c r="G21" s="104" t="s">
        <v>8</v>
      </c>
      <c r="H21" s="104" t="s">
        <v>7</v>
      </c>
      <c r="I21" s="104" t="s">
        <v>8</v>
      </c>
      <c r="J21" s="104" t="s">
        <v>7</v>
      </c>
      <c r="K21" s="104" t="s">
        <v>8</v>
      </c>
      <c r="L21" s="8" t="s">
        <v>7</v>
      </c>
      <c r="M21" s="8" t="s">
        <v>9</v>
      </c>
      <c r="N21" s="8" t="s">
        <v>7</v>
      </c>
      <c r="O21" s="8" t="s">
        <v>9</v>
      </c>
      <c r="P21" s="8" t="s">
        <v>7</v>
      </c>
      <c r="Q21" s="8" t="s">
        <v>9</v>
      </c>
    </row>
    <row r="22" spans="1:17" ht="28.5" customHeight="1" x14ac:dyDescent="0.25">
      <c r="A22" s="28" t="s">
        <v>136</v>
      </c>
      <c r="B22" s="28" t="s">
        <v>360</v>
      </c>
      <c r="C22" s="105" t="s">
        <v>146</v>
      </c>
      <c r="D22" s="103"/>
      <c r="E22" s="104"/>
      <c r="F22" s="104"/>
      <c r="G22" s="104"/>
      <c r="H22" s="104"/>
      <c r="I22" s="104"/>
      <c r="J22" s="104"/>
      <c r="K22" s="104"/>
      <c r="L22" s="8"/>
      <c r="M22" s="8"/>
      <c r="N22" s="8"/>
      <c r="O22" s="8"/>
      <c r="P22" s="8"/>
      <c r="Q22" s="8"/>
    </row>
    <row r="23" spans="1:17" ht="12" customHeight="1" x14ac:dyDescent="0.25">
      <c r="A23" s="18"/>
      <c r="B23" s="18"/>
      <c r="C23" s="18" t="s">
        <v>306</v>
      </c>
      <c r="D23" s="31"/>
      <c r="E23" s="31"/>
      <c r="F23" s="31"/>
      <c r="G23" s="31"/>
      <c r="H23" s="66">
        <v>0</v>
      </c>
      <c r="I23" s="24"/>
      <c r="J23" s="31"/>
      <c r="K23" s="31"/>
      <c r="L23" s="8"/>
      <c r="M23" s="8"/>
      <c r="N23" s="8"/>
      <c r="O23" s="8"/>
      <c r="P23" s="8"/>
      <c r="Q23" s="8"/>
    </row>
    <row r="24" spans="1:17" ht="12" customHeight="1" x14ac:dyDescent="0.25">
      <c r="A24" s="18"/>
      <c r="B24" s="18"/>
      <c r="C24" s="18" t="s">
        <v>307</v>
      </c>
      <c r="D24" s="64">
        <v>3</v>
      </c>
      <c r="E24" s="64">
        <v>150</v>
      </c>
      <c r="F24" s="64">
        <v>1</v>
      </c>
      <c r="G24" s="64">
        <v>100</v>
      </c>
      <c r="H24" s="66">
        <v>0</v>
      </c>
      <c r="I24" s="24"/>
      <c r="J24" s="31">
        <v>2</v>
      </c>
      <c r="K24" s="31">
        <v>100</v>
      </c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308</v>
      </c>
      <c r="D25" s="64"/>
      <c r="E25" s="64"/>
      <c r="F25" s="64"/>
      <c r="G25" s="64"/>
      <c r="H25" s="66">
        <v>0</v>
      </c>
      <c r="I25" s="24"/>
      <c r="J25" s="31"/>
      <c r="K25" s="31"/>
      <c r="L25" s="8"/>
      <c r="M25" s="8"/>
      <c r="N25" s="8"/>
      <c r="O25" s="8"/>
      <c r="P25" s="8"/>
      <c r="Q25" s="8"/>
    </row>
    <row r="26" spans="1:17" ht="11.25" customHeight="1" x14ac:dyDescent="0.25">
      <c r="A26" s="18"/>
      <c r="B26" s="18"/>
      <c r="C26" s="18" t="s">
        <v>309</v>
      </c>
      <c r="D26" s="74">
        <v>16</v>
      </c>
      <c r="E26" s="74">
        <f>80+100+200+800+120+60+2000</f>
        <v>3360</v>
      </c>
      <c r="F26" s="64">
        <v>9</v>
      </c>
      <c r="G26" s="64">
        <f>80+750+15</f>
        <v>845</v>
      </c>
      <c r="H26" s="66">
        <v>0</v>
      </c>
      <c r="I26" s="24"/>
      <c r="J26" s="31">
        <v>6</v>
      </c>
      <c r="K26" s="31">
        <v>360</v>
      </c>
      <c r="L26" s="8"/>
      <c r="M26" s="8"/>
      <c r="N26" s="8"/>
      <c r="O26" s="8"/>
      <c r="P26" s="8"/>
      <c r="Q26" s="8"/>
    </row>
    <row r="27" spans="1:17" ht="12.75" customHeight="1" x14ac:dyDescent="0.25">
      <c r="A27" s="18"/>
      <c r="B27" s="18"/>
      <c r="C27" s="18" t="s">
        <v>310</v>
      </c>
      <c r="D27" s="64">
        <v>3</v>
      </c>
      <c r="E27" s="64">
        <v>70</v>
      </c>
      <c r="F27" s="64">
        <v>2</v>
      </c>
      <c r="G27" s="64">
        <v>30</v>
      </c>
      <c r="H27" s="66">
        <v>0</v>
      </c>
      <c r="I27" s="24"/>
      <c r="J27" s="31"/>
      <c r="K27" s="31"/>
      <c r="L27" s="8"/>
      <c r="M27" s="8"/>
      <c r="N27" s="8"/>
      <c r="O27" s="8"/>
      <c r="P27" s="8"/>
      <c r="Q27" s="8"/>
    </row>
    <row r="28" spans="1:17" ht="11.25" customHeight="1" x14ac:dyDescent="0.25">
      <c r="A28" s="18"/>
      <c r="B28" s="18"/>
      <c r="C28" s="18" t="s">
        <v>311</v>
      </c>
      <c r="D28" s="64">
        <v>4</v>
      </c>
      <c r="E28" s="64">
        <v>670</v>
      </c>
      <c r="F28" s="64">
        <v>1</v>
      </c>
      <c r="G28" s="64">
        <v>470</v>
      </c>
      <c r="H28" s="66">
        <v>0</v>
      </c>
      <c r="I28" s="24"/>
      <c r="J28" s="31">
        <v>3</v>
      </c>
      <c r="K28" s="31">
        <v>310</v>
      </c>
      <c r="L28" s="8"/>
      <c r="M28" s="8"/>
      <c r="N28" s="8"/>
      <c r="O28" s="8"/>
      <c r="P28" s="8"/>
      <c r="Q28" s="8"/>
    </row>
    <row r="29" spans="1:17" ht="16.5" customHeight="1" x14ac:dyDescent="0.25">
      <c r="A29" s="18"/>
      <c r="B29" s="18"/>
      <c r="C29" s="18" t="s">
        <v>312</v>
      </c>
      <c r="D29" s="65">
        <v>2</v>
      </c>
      <c r="E29" s="65">
        <v>120</v>
      </c>
      <c r="F29" s="65">
        <v>2</v>
      </c>
      <c r="G29" s="65">
        <v>120</v>
      </c>
      <c r="H29" s="66">
        <v>0</v>
      </c>
      <c r="I29" s="104"/>
      <c r="J29" s="104"/>
      <c r="K29" s="104"/>
      <c r="L29" s="8"/>
      <c r="M29" s="8"/>
      <c r="N29" s="8"/>
      <c r="O29" s="8"/>
      <c r="P29" s="8"/>
      <c r="Q29" s="8"/>
    </row>
    <row r="30" spans="1:17" ht="12" customHeight="1" x14ac:dyDescent="0.25">
      <c r="A30" s="18"/>
      <c r="B30" s="18"/>
      <c r="C30" s="18" t="s">
        <v>313</v>
      </c>
      <c r="D30" s="31">
        <v>10</v>
      </c>
      <c r="E30" s="31">
        <v>1600</v>
      </c>
      <c r="F30" s="31">
        <v>8</v>
      </c>
      <c r="G30" s="31">
        <v>279.39999999999998</v>
      </c>
      <c r="H30" s="66">
        <v>0</v>
      </c>
      <c r="I30" s="24"/>
      <c r="J30" s="31">
        <v>6</v>
      </c>
      <c r="K30" s="31">
        <v>450</v>
      </c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314</v>
      </c>
      <c r="D31" s="31">
        <v>2</v>
      </c>
      <c r="E31" s="31">
        <v>560</v>
      </c>
      <c r="F31" s="31">
        <v>2</v>
      </c>
      <c r="G31" s="31">
        <v>560</v>
      </c>
      <c r="H31" s="66">
        <v>0</v>
      </c>
      <c r="I31" s="24"/>
      <c r="J31" s="31">
        <v>2</v>
      </c>
      <c r="K31" s="31">
        <v>150</v>
      </c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315</v>
      </c>
      <c r="D32" s="64">
        <v>12</v>
      </c>
      <c r="E32" s="64">
        <f>10+100+300+80+10+300+40+480</f>
        <v>1320</v>
      </c>
      <c r="F32" s="64">
        <v>6</v>
      </c>
      <c r="G32" s="64">
        <v>920</v>
      </c>
      <c r="H32" s="66">
        <v>0</v>
      </c>
      <c r="I32" s="24"/>
      <c r="J32" s="64">
        <v>7</v>
      </c>
      <c r="K32" s="64">
        <v>450</v>
      </c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316</v>
      </c>
      <c r="D33" s="64">
        <v>8</v>
      </c>
      <c r="E33" s="64">
        <f>60+48+150+85+640+60</f>
        <v>1043</v>
      </c>
      <c r="F33" s="64">
        <v>6</v>
      </c>
      <c r="G33" s="64">
        <v>989</v>
      </c>
      <c r="H33" s="66">
        <v>0</v>
      </c>
      <c r="I33" s="24"/>
      <c r="J33" s="64">
        <v>5</v>
      </c>
      <c r="K33" s="64">
        <v>340</v>
      </c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317</v>
      </c>
      <c r="D34" s="73">
        <v>10</v>
      </c>
      <c r="E34" s="73">
        <f>15+10+30+15+10+6+10+30+160+45</f>
        <v>331</v>
      </c>
      <c r="F34" s="64">
        <v>9</v>
      </c>
      <c r="G34" s="64">
        <v>286</v>
      </c>
      <c r="H34" s="66">
        <v>0</v>
      </c>
      <c r="I34" s="24"/>
      <c r="J34" s="31">
        <v>9</v>
      </c>
      <c r="K34" s="31">
        <v>245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318</v>
      </c>
      <c r="D35" s="64">
        <v>16</v>
      </c>
      <c r="E35" s="64">
        <f>15+100+25+20+20+25+160+45+15+90+30+120+160+10+25+300</f>
        <v>1160</v>
      </c>
      <c r="F35" s="64">
        <v>14</v>
      </c>
      <c r="G35" s="64">
        <v>835</v>
      </c>
      <c r="H35" s="66">
        <v>0</v>
      </c>
      <c r="I35" s="24"/>
      <c r="J35" s="31">
        <v>8</v>
      </c>
      <c r="K35" s="31">
        <v>480</v>
      </c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319</v>
      </c>
      <c r="D36" s="65">
        <v>20</v>
      </c>
      <c r="E36" s="65">
        <f>50+150+18+160+90+200+75+15+150+50+86+20+6+400+15+15+40+55+300+400+700</f>
        <v>2995</v>
      </c>
      <c r="F36" s="65">
        <v>20</v>
      </c>
      <c r="G36" s="65">
        <v>2295</v>
      </c>
      <c r="H36" s="66">
        <v>0</v>
      </c>
      <c r="I36" s="104"/>
      <c r="J36" s="104">
        <v>6</v>
      </c>
      <c r="K36" s="104">
        <v>120</v>
      </c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320</v>
      </c>
      <c r="D37" s="64">
        <v>4</v>
      </c>
      <c r="E37" s="64">
        <f>940+70</f>
        <v>1010</v>
      </c>
      <c r="F37" s="64">
        <v>3</v>
      </c>
      <c r="G37" s="64">
        <v>90</v>
      </c>
      <c r="H37" s="66">
        <v>0</v>
      </c>
      <c r="I37" s="24"/>
      <c r="J37" s="31"/>
      <c r="K37" s="31"/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321</v>
      </c>
      <c r="D38" s="64">
        <v>3</v>
      </c>
      <c r="E38" s="64">
        <v>230</v>
      </c>
      <c r="F38" s="64">
        <v>3</v>
      </c>
      <c r="G38" s="64">
        <v>230</v>
      </c>
      <c r="H38" s="66">
        <v>0</v>
      </c>
      <c r="I38" s="24"/>
      <c r="J38" s="31">
        <v>3</v>
      </c>
      <c r="K38" s="31">
        <v>320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322</v>
      </c>
      <c r="D39" s="31">
        <v>6</v>
      </c>
      <c r="E39" s="31">
        <f>650+160</f>
        <v>810</v>
      </c>
      <c r="F39" s="31">
        <v>5</v>
      </c>
      <c r="G39" s="31">
        <v>650</v>
      </c>
      <c r="H39" s="66">
        <v>0</v>
      </c>
      <c r="I39" s="24"/>
      <c r="J39" s="31">
        <v>5</v>
      </c>
      <c r="K39" s="31">
        <v>385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323</v>
      </c>
      <c r="D40" s="31">
        <v>1</v>
      </c>
      <c r="E40" s="31">
        <v>120</v>
      </c>
      <c r="F40" s="31">
        <v>1</v>
      </c>
      <c r="G40" s="31">
        <v>120</v>
      </c>
      <c r="H40" s="66">
        <v>0</v>
      </c>
      <c r="I40" s="24"/>
      <c r="J40" s="31">
        <v>8</v>
      </c>
      <c r="K40" s="31">
        <v>450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324</v>
      </c>
      <c r="D41" s="31">
        <v>8</v>
      </c>
      <c r="E41" s="31">
        <v>1489.25</v>
      </c>
      <c r="F41" s="31">
        <v>5</v>
      </c>
      <c r="G41" s="31">
        <v>250</v>
      </c>
      <c r="H41" s="66">
        <v>0</v>
      </c>
      <c r="I41" s="24"/>
      <c r="J41" s="31"/>
      <c r="K41" s="31"/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325</v>
      </c>
      <c r="D42" s="31">
        <v>7</v>
      </c>
      <c r="E42" s="31">
        <f>20+170+180+60+1.1+400+90</f>
        <v>921.1</v>
      </c>
      <c r="F42" s="31">
        <v>7</v>
      </c>
      <c r="G42" s="31">
        <v>921.1</v>
      </c>
      <c r="H42" s="66">
        <v>0</v>
      </c>
      <c r="I42" s="24"/>
      <c r="J42" s="31">
        <v>1</v>
      </c>
      <c r="K42" s="31">
        <v>20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326</v>
      </c>
      <c r="D43" s="31">
        <v>5</v>
      </c>
      <c r="E43" s="31">
        <v>623</v>
      </c>
      <c r="F43" s="31">
        <v>3</v>
      </c>
      <c r="G43" s="31">
        <v>310</v>
      </c>
      <c r="H43" s="66">
        <v>0</v>
      </c>
      <c r="I43" s="24"/>
      <c r="J43" s="31"/>
      <c r="K43" s="31"/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327</v>
      </c>
      <c r="D44" s="31">
        <v>1</v>
      </c>
      <c r="E44" s="31">
        <v>40</v>
      </c>
      <c r="F44" s="31"/>
      <c r="G44" s="31"/>
      <c r="H44" s="66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328</v>
      </c>
      <c r="D45" s="64">
        <v>2</v>
      </c>
      <c r="E45" s="64">
        <v>272</v>
      </c>
      <c r="F45" s="64">
        <v>2</v>
      </c>
      <c r="G45" s="64">
        <v>272</v>
      </c>
      <c r="H45" s="66">
        <v>0</v>
      </c>
      <c r="I45" s="24"/>
      <c r="J45" s="64">
        <v>1</v>
      </c>
      <c r="K45" s="64">
        <v>70</v>
      </c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329</v>
      </c>
      <c r="D46" s="64">
        <v>4</v>
      </c>
      <c r="E46" s="64">
        <v>200</v>
      </c>
      <c r="F46" s="64">
        <v>3</v>
      </c>
      <c r="G46" s="64">
        <v>160</v>
      </c>
      <c r="H46" s="66">
        <v>0</v>
      </c>
      <c r="I46" s="24"/>
      <c r="J46" s="64">
        <v>2</v>
      </c>
      <c r="K46" s="64">
        <v>5</v>
      </c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330</v>
      </c>
      <c r="D47" s="64">
        <v>1</v>
      </c>
      <c r="E47" s="64">
        <v>75</v>
      </c>
      <c r="F47" s="64"/>
      <c r="G47" s="64"/>
      <c r="H47" s="66">
        <v>0</v>
      </c>
      <c r="I47" s="24"/>
      <c r="J47" s="64">
        <v>1</v>
      </c>
      <c r="K47" s="64">
        <v>75</v>
      </c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331</v>
      </c>
      <c r="D48" s="64">
        <v>11</v>
      </c>
      <c r="E48" s="64">
        <v>1500</v>
      </c>
      <c r="F48" s="64">
        <v>4</v>
      </c>
      <c r="G48" s="64">
        <v>630</v>
      </c>
      <c r="H48" s="66">
        <v>0</v>
      </c>
      <c r="I48" s="24"/>
      <c r="J48" s="31">
        <v>8</v>
      </c>
      <c r="K48" s="31">
        <v>680</v>
      </c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332</v>
      </c>
      <c r="D49" s="65">
        <v>3</v>
      </c>
      <c r="E49" s="65">
        <f>150+50+250</f>
        <v>450</v>
      </c>
      <c r="F49" s="65">
        <v>3</v>
      </c>
      <c r="G49" s="65">
        <v>450</v>
      </c>
      <c r="H49" s="66">
        <v>0</v>
      </c>
      <c r="I49" s="104"/>
      <c r="J49" s="104">
        <v>4</v>
      </c>
      <c r="K49" s="104">
        <v>135</v>
      </c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333</v>
      </c>
      <c r="D50" s="64">
        <v>3</v>
      </c>
      <c r="E50" s="64">
        <f>162+6+15</f>
        <v>183</v>
      </c>
      <c r="F50" s="64">
        <v>3</v>
      </c>
      <c r="G50" s="64">
        <f>162+6+15</f>
        <v>183</v>
      </c>
      <c r="H50" s="66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334</v>
      </c>
      <c r="D51" s="64">
        <v>8</v>
      </c>
      <c r="E51" s="64">
        <f>200+40+155+100+80+30+70+300+30</f>
        <v>1005</v>
      </c>
      <c r="F51" s="64">
        <v>5</v>
      </c>
      <c r="G51" s="64">
        <v>470</v>
      </c>
      <c r="H51" s="66">
        <v>0</v>
      </c>
      <c r="I51" s="24"/>
      <c r="J51" s="31"/>
      <c r="K51" s="31"/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335</v>
      </c>
      <c r="D52" s="64">
        <v>2</v>
      </c>
      <c r="E52" s="64">
        <v>75</v>
      </c>
      <c r="F52" s="64">
        <v>1</v>
      </c>
      <c r="G52" s="64">
        <v>15</v>
      </c>
      <c r="H52" s="66">
        <v>0</v>
      </c>
      <c r="I52" s="24"/>
      <c r="J52" s="31"/>
      <c r="K52" s="31"/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336</v>
      </c>
      <c r="D53" s="64">
        <v>2</v>
      </c>
      <c r="E53" s="64">
        <v>60</v>
      </c>
      <c r="F53" s="64"/>
      <c r="G53" s="64"/>
      <c r="H53" s="66">
        <v>0</v>
      </c>
      <c r="I53" s="24"/>
      <c r="J53" s="31">
        <v>3</v>
      </c>
      <c r="K53" s="31">
        <v>80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337</v>
      </c>
      <c r="D54" s="64">
        <v>3</v>
      </c>
      <c r="E54" s="64">
        <f>350+20+50</f>
        <v>420</v>
      </c>
      <c r="F54" s="64">
        <v>3</v>
      </c>
      <c r="G54" s="64">
        <v>420</v>
      </c>
      <c r="H54" s="66">
        <v>0</v>
      </c>
      <c r="I54" s="24"/>
      <c r="J54" s="31"/>
      <c r="K54" s="31"/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338</v>
      </c>
      <c r="D55" s="31">
        <v>1</v>
      </c>
      <c r="E55" s="31">
        <v>40</v>
      </c>
      <c r="F55" s="31"/>
      <c r="G55" s="31"/>
      <c r="H55" s="66">
        <v>0</v>
      </c>
      <c r="I55" s="24"/>
      <c r="J55" s="31"/>
      <c r="K55" s="31"/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339</v>
      </c>
      <c r="D56" s="31">
        <v>3</v>
      </c>
      <c r="E56" s="31">
        <f>15+95+10</f>
        <v>120</v>
      </c>
      <c r="F56" s="31">
        <v>3</v>
      </c>
      <c r="G56" s="31">
        <v>120</v>
      </c>
      <c r="H56" s="66">
        <v>0</v>
      </c>
      <c r="I56" s="24"/>
      <c r="J56" s="31"/>
      <c r="K56" s="31"/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340</v>
      </c>
      <c r="D57" s="31">
        <v>2</v>
      </c>
      <c r="E57" s="31">
        <f>50+91</f>
        <v>141</v>
      </c>
      <c r="F57" s="31">
        <v>2</v>
      </c>
      <c r="G57" s="31">
        <v>141</v>
      </c>
      <c r="H57" s="66">
        <v>0</v>
      </c>
      <c r="I57" s="24"/>
      <c r="J57" s="31"/>
      <c r="K57" s="31"/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341</v>
      </c>
      <c r="D58" s="31">
        <v>6</v>
      </c>
      <c r="E58" s="31">
        <v>540</v>
      </c>
      <c r="F58" s="31">
        <v>4</v>
      </c>
      <c r="G58" s="31">
        <v>210</v>
      </c>
      <c r="H58" s="66">
        <v>0</v>
      </c>
      <c r="I58" s="24"/>
      <c r="J58" s="31">
        <v>4</v>
      </c>
      <c r="K58" s="31">
        <v>210</v>
      </c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342</v>
      </c>
      <c r="D59" s="104">
        <v>1</v>
      </c>
      <c r="E59" s="104">
        <v>96</v>
      </c>
      <c r="F59" s="104"/>
      <c r="G59" s="104"/>
      <c r="H59" s="66">
        <v>0</v>
      </c>
      <c r="I59" s="104"/>
      <c r="J59" s="104"/>
      <c r="K59" s="104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343</v>
      </c>
      <c r="D60" s="31">
        <v>2</v>
      </c>
      <c r="E60" s="31">
        <f>15+160</f>
        <v>175</v>
      </c>
      <c r="F60" s="31">
        <v>2</v>
      </c>
      <c r="G60" s="31">
        <v>175</v>
      </c>
      <c r="H60" s="66">
        <v>0</v>
      </c>
      <c r="I60" s="24"/>
      <c r="J60" s="31"/>
      <c r="K60" s="31"/>
      <c r="L60" s="8"/>
      <c r="M60" s="8"/>
      <c r="N60" s="8"/>
      <c r="O60" s="8"/>
      <c r="P60" s="8"/>
      <c r="Q60" s="8"/>
    </row>
    <row r="61" spans="1:17" ht="12.75" customHeight="1" x14ac:dyDescent="0.25">
      <c r="A61" s="18"/>
      <c r="B61" s="18"/>
      <c r="C61" s="18" t="s">
        <v>344</v>
      </c>
      <c r="D61" s="31"/>
      <c r="E61" s="31"/>
      <c r="F61" s="31"/>
      <c r="G61" s="31"/>
      <c r="H61" s="66">
        <v>0</v>
      </c>
      <c r="I61" s="24"/>
      <c r="J61" s="31"/>
      <c r="K61" s="31"/>
      <c r="L61" s="8"/>
      <c r="M61" s="8"/>
      <c r="N61" s="8"/>
      <c r="O61" s="8"/>
      <c r="P61" s="8"/>
      <c r="Q61" s="8"/>
    </row>
    <row r="62" spans="1:17" ht="12.75" customHeight="1" x14ac:dyDescent="0.25">
      <c r="A62" s="18"/>
      <c r="B62" s="18"/>
      <c r="C62" s="18" t="s">
        <v>345</v>
      </c>
      <c r="D62" s="31">
        <v>2</v>
      </c>
      <c r="E62" s="31">
        <f>8+7</f>
        <v>15</v>
      </c>
      <c r="F62" s="31">
        <v>2</v>
      </c>
      <c r="G62" s="31">
        <v>15</v>
      </c>
      <c r="H62" s="66">
        <v>0</v>
      </c>
      <c r="I62" s="24"/>
      <c r="J62" s="31">
        <v>2</v>
      </c>
      <c r="K62" s="31">
        <f>8+7</f>
        <v>15</v>
      </c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18"/>
      <c r="C63" s="18" t="s">
        <v>362</v>
      </c>
      <c r="D63" s="31">
        <v>6</v>
      </c>
      <c r="E63" s="31">
        <f>325+170+100+90+100+100</f>
        <v>885</v>
      </c>
      <c r="F63" s="31">
        <v>4</v>
      </c>
      <c r="G63" s="31">
        <v>485</v>
      </c>
      <c r="H63" s="66">
        <v>0</v>
      </c>
      <c r="I63" s="24"/>
      <c r="J63" s="31"/>
      <c r="K63" s="31"/>
      <c r="L63" s="8"/>
      <c r="M63" s="8"/>
      <c r="N63" s="8"/>
      <c r="O63" s="8"/>
      <c r="P63" s="8"/>
      <c r="Q63" s="8"/>
    </row>
    <row r="64" spans="1:17" ht="17.25" customHeight="1" x14ac:dyDescent="0.2">
      <c r="A64" s="18"/>
      <c r="B64" s="18"/>
      <c r="C64" s="70" t="s">
        <v>30</v>
      </c>
      <c r="D64" s="31">
        <f t="shared" ref="D64:Q64" si="0">SUM(D23:D63)</f>
        <v>203</v>
      </c>
      <c r="E64" s="31">
        <f t="shared" si="0"/>
        <v>24874.35</v>
      </c>
      <c r="F64" s="31">
        <f t="shared" si="0"/>
        <v>148</v>
      </c>
      <c r="G64" s="31">
        <f t="shared" si="0"/>
        <v>14046.5</v>
      </c>
      <c r="H64" s="31">
        <f t="shared" si="0"/>
        <v>0</v>
      </c>
      <c r="I64" s="31">
        <f t="shared" si="0"/>
        <v>0</v>
      </c>
      <c r="J64" s="31">
        <f t="shared" si="0"/>
        <v>96</v>
      </c>
      <c r="K64" s="31">
        <f t="shared" si="0"/>
        <v>5450</v>
      </c>
      <c r="L64" s="31">
        <f t="shared" si="0"/>
        <v>0</v>
      </c>
      <c r="M64" s="31">
        <f t="shared" si="0"/>
        <v>0</v>
      </c>
      <c r="N64" s="31">
        <f t="shared" si="0"/>
        <v>0</v>
      </c>
      <c r="O64" s="31">
        <f t="shared" si="0"/>
        <v>0</v>
      </c>
      <c r="P64" s="31">
        <f t="shared" si="0"/>
        <v>0</v>
      </c>
      <c r="Q64" s="31">
        <f t="shared" si="0"/>
        <v>0</v>
      </c>
    </row>
    <row r="65" spans="1:17" ht="15" x14ac:dyDescent="0.25">
      <c r="A65" s="18"/>
      <c r="B65" s="18"/>
      <c r="C65" s="105" t="s">
        <v>148</v>
      </c>
      <c r="D65" s="103"/>
      <c r="E65" s="31"/>
      <c r="F65" s="31"/>
      <c r="G65" s="31"/>
      <c r="H65" s="66">
        <v>0</v>
      </c>
      <c r="I65" s="24"/>
      <c r="J65" s="31"/>
      <c r="K65" s="31"/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350</v>
      </c>
      <c r="D66" s="31">
        <v>19</v>
      </c>
      <c r="E66" s="31">
        <f>765+520+51.09+414+520</f>
        <v>2270.09</v>
      </c>
      <c r="F66" s="31">
        <v>9</v>
      </c>
      <c r="G66" s="31">
        <v>678</v>
      </c>
      <c r="H66" s="66">
        <v>0</v>
      </c>
      <c r="I66" s="24"/>
      <c r="J66" s="31">
        <v>11</v>
      </c>
      <c r="K66" s="8">
        <v>390</v>
      </c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149</v>
      </c>
      <c r="D67" s="31">
        <v>15</v>
      </c>
      <c r="E67" s="31">
        <f>41+15+15+155+50+15+60+50+250+100+300+62</f>
        <v>1113</v>
      </c>
      <c r="F67" s="31">
        <v>6</v>
      </c>
      <c r="G67" s="31">
        <v>251</v>
      </c>
      <c r="H67" s="66">
        <v>0</v>
      </c>
      <c r="I67" s="24"/>
      <c r="J67" s="31">
        <v>9</v>
      </c>
      <c r="K67" s="8">
        <v>620</v>
      </c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150</v>
      </c>
      <c r="D68" s="31">
        <v>4</v>
      </c>
      <c r="E68" s="31">
        <f>550+300</f>
        <v>850</v>
      </c>
      <c r="F68" s="31">
        <v>3</v>
      </c>
      <c r="G68" s="31">
        <v>300</v>
      </c>
      <c r="H68" s="66">
        <v>0</v>
      </c>
      <c r="I68" s="24"/>
      <c r="J68" s="31"/>
      <c r="K68" s="8"/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151</v>
      </c>
      <c r="D69" s="31">
        <v>2</v>
      </c>
      <c r="E69" s="31">
        <v>125</v>
      </c>
      <c r="F69" s="31">
        <v>2</v>
      </c>
      <c r="G69" s="31">
        <v>25</v>
      </c>
      <c r="H69" s="66">
        <v>0</v>
      </c>
      <c r="I69" s="24"/>
      <c r="J69" s="31">
        <v>2</v>
      </c>
      <c r="K69" s="31">
        <v>125</v>
      </c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152</v>
      </c>
      <c r="D70" s="31">
        <v>4</v>
      </c>
      <c r="E70" s="31">
        <v>345</v>
      </c>
      <c r="F70" s="31">
        <v>1</v>
      </c>
      <c r="G70" s="31">
        <v>41</v>
      </c>
      <c r="H70" s="66">
        <v>0</v>
      </c>
      <c r="I70" s="24"/>
      <c r="J70" s="31">
        <v>1</v>
      </c>
      <c r="K70" s="8">
        <v>20</v>
      </c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351</v>
      </c>
      <c r="D71" s="31"/>
      <c r="E71" s="31"/>
      <c r="F71" s="31"/>
      <c r="G71" s="31"/>
      <c r="H71" s="66">
        <v>0</v>
      </c>
      <c r="I71" s="24"/>
      <c r="J71" s="31"/>
      <c r="K71" s="8"/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153</v>
      </c>
      <c r="D72" s="31">
        <v>1</v>
      </c>
      <c r="E72" s="31">
        <v>10</v>
      </c>
      <c r="F72" s="31">
        <v>1</v>
      </c>
      <c r="G72" s="31">
        <v>10</v>
      </c>
      <c r="H72" s="66">
        <v>0</v>
      </c>
      <c r="I72" s="24"/>
      <c r="J72" s="31">
        <v>1</v>
      </c>
      <c r="K72" s="31">
        <v>10</v>
      </c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155</v>
      </c>
      <c r="D73" s="31"/>
      <c r="E73" s="31"/>
      <c r="F73" s="31"/>
      <c r="G73" s="31"/>
      <c r="H73" s="66">
        <v>0</v>
      </c>
      <c r="I73" s="24"/>
      <c r="J73" s="31"/>
      <c r="K73" s="8"/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363</v>
      </c>
      <c r="D74" s="31">
        <v>6</v>
      </c>
      <c r="E74" s="31">
        <v>380</v>
      </c>
      <c r="F74" s="31">
        <v>3</v>
      </c>
      <c r="G74" s="31">
        <v>140</v>
      </c>
      <c r="H74" s="66">
        <v>0</v>
      </c>
      <c r="I74" s="24"/>
      <c r="J74" s="31">
        <v>5</v>
      </c>
      <c r="K74" s="8">
        <v>420</v>
      </c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147</v>
      </c>
      <c r="D75" s="31"/>
      <c r="E75" s="31"/>
      <c r="F75" s="31"/>
      <c r="G75" s="31"/>
      <c r="H75" s="66">
        <v>0</v>
      </c>
      <c r="I75" s="24"/>
      <c r="J75" s="31"/>
      <c r="K75" s="8"/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156</v>
      </c>
      <c r="D76" s="31"/>
      <c r="E76" s="31"/>
      <c r="F76" s="31"/>
      <c r="G76" s="31"/>
      <c r="H76" s="66">
        <v>0</v>
      </c>
      <c r="I76" s="24"/>
      <c r="J76" s="31"/>
      <c r="K76" s="8"/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157</v>
      </c>
      <c r="D77" s="31">
        <v>5</v>
      </c>
      <c r="E77" s="31">
        <v>340</v>
      </c>
      <c r="F77" s="31">
        <v>4</v>
      </c>
      <c r="G77" s="31">
        <v>40</v>
      </c>
      <c r="H77" s="66">
        <v>0</v>
      </c>
      <c r="I77" s="24"/>
      <c r="J77" s="31"/>
      <c r="K77" s="8"/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158</v>
      </c>
      <c r="D78" s="64">
        <v>4</v>
      </c>
      <c r="E78" s="64">
        <v>390</v>
      </c>
      <c r="F78" s="64">
        <v>4</v>
      </c>
      <c r="G78" s="64">
        <v>390</v>
      </c>
      <c r="H78" s="66">
        <v>0</v>
      </c>
      <c r="I78" s="24"/>
      <c r="J78" s="31"/>
      <c r="K78" s="8"/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159</v>
      </c>
      <c r="D79" s="64">
        <v>1</v>
      </c>
      <c r="E79" s="64">
        <v>90</v>
      </c>
      <c r="F79" s="64">
        <v>1</v>
      </c>
      <c r="G79" s="64">
        <v>90</v>
      </c>
      <c r="H79" s="66">
        <v>0</v>
      </c>
      <c r="I79" s="24"/>
      <c r="J79" s="64">
        <v>1</v>
      </c>
      <c r="K79" s="64">
        <v>90</v>
      </c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160</v>
      </c>
      <c r="D80" s="64"/>
      <c r="E80" s="64"/>
      <c r="F80" s="64"/>
      <c r="G80" s="64"/>
      <c r="H80" s="66">
        <v>0</v>
      </c>
      <c r="I80" s="24"/>
      <c r="J80" s="31"/>
      <c r="K80" s="8"/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161</v>
      </c>
      <c r="D81" s="64">
        <v>4</v>
      </c>
      <c r="E81" s="64">
        <v>654</v>
      </c>
      <c r="F81" s="64">
        <v>2</v>
      </c>
      <c r="G81" s="64">
        <v>210</v>
      </c>
      <c r="H81" s="66">
        <v>0</v>
      </c>
      <c r="I81" s="24"/>
      <c r="J81" s="31">
        <v>2</v>
      </c>
      <c r="K81" s="8">
        <v>160</v>
      </c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162</v>
      </c>
      <c r="D82" s="64">
        <v>1</v>
      </c>
      <c r="E82" s="64">
        <v>25</v>
      </c>
      <c r="F82" s="64">
        <v>1</v>
      </c>
      <c r="G82" s="64">
        <v>25</v>
      </c>
      <c r="H82" s="66">
        <v>0</v>
      </c>
      <c r="I82" s="24"/>
      <c r="J82" s="64">
        <v>1</v>
      </c>
      <c r="K82" s="64">
        <v>25</v>
      </c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163</v>
      </c>
      <c r="D83" s="64">
        <v>1</v>
      </c>
      <c r="E83" s="64">
        <v>45</v>
      </c>
      <c r="F83" s="64">
        <v>1</v>
      </c>
      <c r="G83" s="64">
        <v>45</v>
      </c>
      <c r="H83" s="66">
        <v>0</v>
      </c>
      <c r="I83" s="24"/>
      <c r="J83" s="64">
        <v>1</v>
      </c>
      <c r="K83" s="64">
        <v>45</v>
      </c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352</v>
      </c>
      <c r="D84" s="31">
        <v>1</v>
      </c>
      <c r="E84" s="31">
        <v>10</v>
      </c>
      <c r="F84" s="31">
        <v>1</v>
      </c>
      <c r="G84" s="31">
        <v>10</v>
      </c>
      <c r="H84" s="66">
        <v>0</v>
      </c>
      <c r="I84" s="24"/>
      <c r="J84" s="31">
        <v>1</v>
      </c>
      <c r="K84" s="31">
        <v>10</v>
      </c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171</v>
      </c>
      <c r="D85" s="71"/>
      <c r="E85" s="71"/>
      <c r="F85" s="71"/>
      <c r="G85" s="71"/>
      <c r="H85" s="66">
        <v>0</v>
      </c>
      <c r="I85" s="24"/>
      <c r="J85" s="31"/>
      <c r="K85" s="31"/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164</v>
      </c>
      <c r="D86" s="31">
        <v>3</v>
      </c>
      <c r="E86" s="31">
        <v>228</v>
      </c>
      <c r="F86" s="31"/>
      <c r="G86" s="31"/>
      <c r="H86" s="66">
        <v>0</v>
      </c>
      <c r="I86" s="24"/>
      <c r="J86" s="31">
        <v>3</v>
      </c>
      <c r="K86" s="31">
        <v>228</v>
      </c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357</v>
      </c>
      <c r="D87" s="31">
        <v>3</v>
      </c>
      <c r="E87" s="31">
        <v>340</v>
      </c>
      <c r="F87" s="31"/>
      <c r="G87" s="31"/>
      <c r="H87" s="66">
        <v>0</v>
      </c>
      <c r="I87" s="24"/>
      <c r="J87" s="31">
        <v>3</v>
      </c>
      <c r="K87" s="31">
        <v>340</v>
      </c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165</v>
      </c>
      <c r="D88" s="31">
        <v>1</v>
      </c>
      <c r="E88" s="31">
        <v>65</v>
      </c>
      <c r="F88" s="31">
        <v>1</v>
      </c>
      <c r="G88" s="31">
        <v>15</v>
      </c>
      <c r="H88" s="66">
        <v>0</v>
      </c>
      <c r="I88" s="24"/>
      <c r="J88" s="31">
        <v>1</v>
      </c>
      <c r="K88" s="31">
        <v>65</v>
      </c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166</v>
      </c>
      <c r="D89" s="31"/>
      <c r="E89" s="31"/>
      <c r="F89" s="31"/>
      <c r="G89" s="31"/>
      <c r="H89" s="66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353</v>
      </c>
      <c r="D90" s="31">
        <v>2</v>
      </c>
      <c r="E90" s="31">
        <v>205</v>
      </c>
      <c r="F90" s="31">
        <v>1</v>
      </c>
      <c r="G90" s="31">
        <v>20</v>
      </c>
      <c r="H90" s="66">
        <v>0</v>
      </c>
      <c r="I90" s="24"/>
      <c r="J90" s="31">
        <v>1</v>
      </c>
      <c r="K90" s="31">
        <v>25</v>
      </c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354</v>
      </c>
      <c r="D91" s="31">
        <v>2</v>
      </c>
      <c r="E91" s="31">
        <v>95</v>
      </c>
      <c r="F91" s="31">
        <v>2</v>
      </c>
      <c r="G91" s="31">
        <v>95</v>
      </c>
      <c r="H91" s="66">
        <v>0</v>
      </c>
      <c r="I91" s="24"/>
      <c r="J91" s="31">
        <v>2</v>
      </c>
      <c r="K91" s="31">
        <v>95</v>
      </c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167</v>
      </c>
      <c r="D92" s="31">
        <v>1</v>
      </c>
      <c r="E92" s="31">
        <v>15</v>
      </c>
      <c r="F92" s="31">
        <v>1</v>
      </c>
      <c r="G92" s="31">
        <v>15</v>
      </c>
      <c r="H92" s="66">
        <v>0</v>
      </c>
      <c r="I92" s="24"/>
      <c r="J92" s="31">
        <v>1</v>
      </c>
      <c r="K92" s="31">
        <v>15</v>
      </c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355</v>
      </c>
      <c r="D93" s="31">
        <v>5</v>
      </c>
      <c r="E93" s="31">
        <v>350</v>
      </c>
      <c r="F93" s="31">
        <v>2</v>
      </c>
      <c r="G93" s="31">
        <v>125</v>
      </c>
      <c r="H93" s="66">
        <v>0</v>
      </c>
      <c r="I93" s="24"/>
      <c r="J93" s="31">
        <v>1</v>
      </c>
      <c r="K93" s="31">
        <v>50</v>
      </c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168</v>
      </c>
      <c r="D94" s="31"/>
      <c r="E94" s="31"/>
      <c r="F94" s="31"/>
      <c r="G94" s="31"/>
      <c r="H94" s="66">
        <v>0</v>
      </c>
      <c r="I94" s="24"/>
      <c r="J94" s="31"/>
      <c r="K94" s="31"/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169</v>
      </c>
      <c r="D95" s="31"/>
      <c r="E95" s="31"/>
      <c r="F95" s="31"/>
      <c r="G95" s="31"/>
      <c r="H95" s="66">
        <v>0</v>
      </c>
      <c r="I95" s="24"/>
      <c r="J95" s="31"/>
      <c r="K95" s="31"/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358</v>
      </c>
      <c r="D96" s="31"/>
      <c r="E96" s="31"/>
      <c r="F96" s="31"/>
      <c r="G96" s="31"/>
      <c r="H96" s="66">
        <v>0</v>
      </c>
      <c r="I96" s="24"/>
      <c r="J96" s="31"/>
      <c r="K96" s="31"/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170</v>
      </c>
      <c r="D97" s="31">
        <v>2</v>
      </c>
      <c r="E97" s="31">
        <f>10+45</f>
        <v>55</v>
      </c>
      <c r="F97" s="31">
        <v>2</v>
      </c>
      <c r="G97" s="31">
        <v>55</v>
      </c>
      <c r="H97" s="66">
        <v>0</v>
      </c>
      <c r="I97" s="24"/>
      <c r="J97" s="31">
        <v>2</v>
      </c>
      <c r="K97" s="31">
        <f>10+45</f>
        <v>55</v>
      </c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18" t="s">
        <v>356</v>
      </c>
      <c r="D98" s="31">
        <v>3</v>
      </c>
      <c r="E98" s="31">
        <v>87</v>
      </c>
      <c r="F98" s="31">
        <v>3</v>
      </c>
      <c r="G98" s="31">
        <v>87</v>
      </c>
      <c r="H98" s="66">
        <v>0</v>
      </c>
      <c r="I98" s="24"/>
      <c r="J98" s="31">
        <v>3</v>
      </c>
      <c r="K98" s="31">
        <v>87</v>
      </c>
      <c r="L98" s="8"/>
      <c r="M98" s="8"/>
      <c r="N98" s="8"/>
      <c r="O98" s="8"/>
      <c r="P98" s="8"/>
      <c r="Q98" s="8"/>
    </row>
    <row r="99" spans="1:17" ht="12.75" customHeight="1" x14ac:dyDescent="0.25">
      <c r="A99" s="18"/>
      <c r="B99" s="53"/>
      <c r="C99" s="18" t="s">
        <v>172</v>
      </c>
      <c r="D99" s="31">
        <v>3</v>
      </c>
      <c r="E99" s="31">
        <f>15+10+131</f>
        <v>156</v>
      </c>
      <c r="F99" s="31">
        <v>3</v>
      </c>
      <c r="G99" s="31">
        <v>156</v>
      </c>
      <c r="H99" s="66">
        <v>0</v>
      </c>
      <c r="I99" s="24"/>
      <c r="J99" s="31"/>
      <c r="K99" s="31"/>
      <c r="L99" s="8"/>
      <c r="M99" s="8"/>
      <c r="N99" s="8"/>
      <c r="O99" s="8"/>
      <c r="P99" s="8"/>
      <c r="Q99" s="8"/>
    </row>
    <row r="100" spans="1:17" ht="12.75" customHeight="1" x14ac:dyDescent="0.25">
      <c r="A100" s="18"/>
      <c r="B100" s="53"/>
      <c r="C100" s="18" t="s">
        <v>173</v>
      </c>
      <c r="D100" s="31"/>
      <c r="E100" s="31"/>
      <c r="F100" s="31"/>
      <c r="G100" s="31"/>
      <c r="H100" s="66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2.75" customHeight="1" x14ac:dyDescent="0.25">
      <c r="A101" s="18"/>
      <c r="B101" s="53"/>
      <c r="C101" s="50" t="s">
        <v>174</v>
      </c>
      <c r="D101" s="31">
        <v>5</v>
      </c>
      <c r="E101" s="31">
        <f>15+30+315+87+8</f>
        <v>455</v>
      </c>
      <c r="F101" s="31">
        <v>5</v>
      </c>
      <c r="G101" s="31">
        <v>455</v>
      </c>
      <c r="H101" s="66">
        <v>0</v>
      </c>
      <c r="I101" s="24"/>
      <c r="J101" s="31"/>
      <c r="K101" s="31"/>
      <c r="L101" s="8"/>
      <c r="M101" s="8"/>
      <c r="N101" s="8"/>
      <c r="O101" s="8"/>
      <c r="P101" s="8"/>
      <c r="Q101" s="8"/>
    </row>
    <row r="102" spans="1:17" ht="22.5" customHeight="1" x14ac:dyDescent="0.2">
      <c r="A102" s="18"/>
      <c r="B102" s="18"/>
      <c r="C102" s="19" t="s">
        <v>30</v>
      </c>
      <c r="D102" s="31">
        <f t="shared" ref="D102:Q102" si="1">SUM(D66:D101)</f>
        <v>98</v>
      </c>
      <c r="E102" s="31">
        <f t="shared" si="1"/>
        <v>8698.09</v>
      </c>
      <c r="F102" s="31">
        <f t="shared" si="1"/>
        <v>59</v>
      </c>
      <c r="G102" s="31">
        <f t="shared" si="1"/>
        <v>3278</v>
      </c>
      <c r="H102" s="31">
        <f t="shared" si="1"/>
        <v>0</v>
      </c>
      <c r="I102" s="31">
        <f t="shared" si="1"/>
        <v>0</v>
      </c>
      <c r="J102" s="31">
        <f t="shared" si="1"/>
        <v>52</v>
      </c>
      <c r="K102" s="31">
        <f t="shared" si="1"/>
        <v>2875</v>
      </c>
      <c r="L102" s="31">
        <f t="shared" si="1"/>
        <v>0</v>
      </c>
      <c r="M102" s="31">
        <f t="shared" si="1"/>
        <v>0</v>
      </c>
      <c r="N102" s="31">
        <f t="shared" si="1"/>
        <v>0</v>
      </c>
      <c r="O102" s="31">
        <f t="shared" si="1"/>
        <v>0</v>
      </c>
      <c r="P102" s="31">
        <f t="shared" si="1"/>
        <v>0</v>
      </c>
      <c r="Q102" s="31">
        <f t="shared" si="1"/>
        <v>0</v>
      </c>
    </row>
    <row r="103" spans="1:17" ht="15" x14ac:dyDescent="0.25">
      <c r="A103" s="18"/>
      <c r="B103" s="18"/>
      <c r="C103" s="55" t="s">
        <v>223</v>
      </c>
      <c r="D103" s="31"/>
      <c r="E103" s="31"/>
      <c r="F103" s="31"/>
      <c r="G103" s="31"/>
      <c r="H103" s="66">
        <v>0</v>
      </c>
      <c r="I103" s="24"/>
      <c r="J103" s="31"/>
      <c r="K103" s="31"/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175</v>
      </c>
      <c r="D104" s="64">
        <v>26</v>
      </c>
      <c r="E104" s="64">
        <f>350+130+70+160+200+65+8+10+160+15+200+20+15+80+3+500+700+95</f>
        <v>2781</v>
      </c>
      <c r="F104" s="64">
        <v>17</v>
      </c>
      <c r="G104" s="64">
        <v>1700</v>
      </c>
      <c r="H104" s="66">
        <v>0</v>
      </c>
      <c r="I104" s="24"/>
      <c r="J104" s="31">
        <v>13</v>
      </c>
      <c r="K104" s="31">
        <v>740</v>
      </c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176</v>
      </c>
      <c r="D105" s="31">
        <v>7</v>
      </c>
      <c r="E105" s="31">
        <f>1554+51.9</f>
        <v>1605.9</v>
      </c>
      <c r="F105" s="31">
        <v>2</v>
      </c>
      <c r="G105" s="31">
        <v>115</v>
      </c>
      <c r="H105" s="66">
        <v>0</v>
      </c>
      <c r="I105" s="24"/>
      <c r="J105" s="31">
        <v>9</v>
      </c>
      <c r="K105" s="31">
        <v>355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177</v>
      </c>
      <c r="D106" s="31">
        <v>6</v>
      </c>
      <c r="E106" s="31">
        <f>340+29.25</f>
        <v>369.25</v>
      </c>
      <c r="F106" s="31">
        <v>5</v>
      </c>
      <c r="G106" s="31">
        <v>63</v>
      </c>
      <c r="H106" s="66">
        <v>0</v>
      </c>
      <c r="I106" s="24"/>
      <c r="J106" s="31">
        <v>6</v>
      </c>
      <c r="K106" s="31">
        <v>240</v>
      </c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178</v>
      </c>
      <c r="D107" s="31">
        <v>11</v>
      </c>
      <c r="E107" s="31">
        <f>902+29.25+630</f>
        <v>1561.25</v>
      </c>
      <c r="F107" s="31">
        <v>7</v>
      </c>
      <c r="G107" s="31">
        <v>589.25</v>
      </c>
      <c r="H107" s="66">
        <v>0</v>
      </c>
      <c r="I107" s="24"/>
      <c r="J107" s="31"/>
      <c r="K107" s="31"/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179</v>
      </c>
      <c r="D108" s="31">
        <v>10</v>
      </c>
      <c r="E108" s="31">
        <f>10+10+15+55+6+60+85+65+70+300+200</f>
        <v>876</v>
      </c>
      <c r="F108" s="31">
        <v>7</v>
      </c>
      <c r="G108" s="31">
        <v>345</v>
      </c>
      <c r="H108" s="66">
        <v>0</v>
      </c>
      <c r="I108" s="24"/>
      <c r="J108" s="31"/>
      <c r="K108" s="31"/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180</v>
      </c>
      <c r="D109" s="31">
        <v>9</v>
      </c>
      <c r="E109" s="31">
        <f>30+60+20+10+20+15+15+86+6+300+268</f>
        <v>830</v>
      </c>
      <c r="F109" s="31">
        <v>5</v>
      </c>
      <c r="G109" s="31">
        <v>105</v>
      </c>
      <c r="H109" s="66">
        <v>0</v>
      </c>
      <c r="I109" s="24"/>
      <c r="J109" s="31"/>
      <c r="K109" s="31"/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181</v>
      </c>
      <c r="D110" s="31">
        <v>3</v>
      </c>
      <c r="E110" s="31">
        <f>15+25+15+200</f>
        <v>255</v>
      </c>
      <c r="F110" s="31">
        <v>3</v>
      </c>
      <c r="G110" s="31">
        <v>55</v>
      </c>
      <c r="H110" s="66">
        <v>0</v>
      </c>
      <c r="I110" s="24"/>
      <c r="J110" s="31"/>
      <c r="K110" s="31"/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182</v>
      </c>
      <c r="D111" s="31">
        <v>6</v>
      </c>
      <c r="E111" s="31">
        <v>460</v>
      </c>
      <c r="F111" s="31">
        <v>2</v>
      </c>
      <c r="G111" s="31">
        <v>60</v>
      </c>
      <c r="H111" s="66">
        <v>0</v>
      </c>
      <c r="I111" s="24"/>
      <c r="J111" s="31">
        <v>1</v>
      </c>
      <c r="K111" s="31">
        <v>40</v>
      </c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183</v>
      </c>
      <c r="D112" s="31">
        <v>3</v>
      </c>
      <c r="E112" s="31">
        <f>10+7+10</f>
        <v>27</v>
      </c>
      <c r="F112" s="31">
        <v>3</v>
      </c>
      <c r="G112" s="31">
        <f>10+7+10</f>
        <v>27</v>
      </c>
      <c r="H112" s="66">
        <v>0</v>
      </c>
      <c r="I112" s="24"/>
      <c r="J112" s="31"/>
      <c r="K112" s="31"/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184</v>
      </c>
      <c r="D113" s="31">
        <v>2</v>
      </c>
      <c r="E113" s="31">
        <f>25+29.25</f>
        <v>54.25</v>
      </c>
      <c r="F113" s="31">
        <v>1</v>
      </c>
      <c r="G113" s="31">
        <v>25</v>
      </c>
      <c r="H113" s="66">
        <v>0</v>
      </c>
      <c r="I113" s="24"/>
      <c r="J113" s="31"/>
      <c r="K113" s="31"/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185</v>
      </c>
      <c r="D114" s="31">
        <v>11</v>
      </c>
      <c r="E114" s="31">
        <f>30+160+131+15+160+170+250+40+10+10+600</f>
        <v>1576</v>
      </c>
      <c r="F114" s="31">
        <v>4</v>
      </c>
      <c r="G114" s="31">
        <v>430</v>
      </c>
      <c r="H114" s="66">
        <v>0</v>
      </c>
      <c r="I114" s="24"/>
      <c r="J114" s="31">
        <v>7</v>
      </c>
      <c r="K114" s="31">
        <v>95</v>
      </c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186</v>
      </c>
      <c r="D115" s="31">
        <v>2</v>
      </c>
      <c r="E115" s="31">
        <v>220</v>
      </c>
      <c r="F115" s="31">
        <v>2</v>
      </c>
      <c r="G115" s="31">
        <v>220</v>
      </c>
      <c r="H115" s="66">
        <v>0</v>
      </c>
      <c r="I115" s="24"/>
      <c r="J115" s="31"/>
      <c r="K115" s="31"/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187</v>
      </c>
      <c r="D116" s="64"/>
      <c r="E116" s="64"/>
      <c r="F116" s="64"/>
      <c r="G116" s="64"/>
      <c r="H116" s="66">
        <v>0</v>
      </c>
      <c r="I116" s="24"/>
      <c r="J116" s="31"/>
      <c r="K116" s="31"/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188</v>
      </c>
      <c r="D117" s="64">
        <v>19</v>
      </c>
      <c r="E117" s="64">
        <f>360+15+320+20+155+360+80+60+15+54+80+50+10+10+200+60+194+100+320</f>
        <v>2463</v>
      </c>
      <c r="F117" s="64">
        <v>9</v>
      </c>
      <c r="G117" s="64">
        <v>1210</v>
      </c>
      <c r="H117" s="66">
        <v>0</v>
      </c>
      <c r="I117" s="24"/>
      <c r="J117" s="31">
        <v>11</v>
      </c>
      <c r="K117" s="31">
        <f>740+68</f>
        <v>808</v>
      </c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189</v>
      </c>
      <c r="D118" s="64">
        <v>8</v>
      </c>
      <c r="E118" s="64">
        <f>15+250+670+150+45+80+85+40</f>
        <v>1335</v>
      </c>
      <c r="F118" s="64">
        <v>3</v>
      </c>
      <c r="G118" s="64">
        <v>120</v>
      </c>
      <c r="H118" s="66">
        <v>0</v>
      </c>
      <c r="I118" s="24"/>
      <c r="J118" s="31">
        <v>1</v>
      </c>
      <c r="K118" s="31">
        <v>40</v>
      </c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190</v>
      </c>
      <c r="D119" s="64">
        <v>3</v>
      </c>
      <c r="E119" s="64">
        <f>15+200+8</f>
        <v>223</v>
      </c>
      <c r="F119" s="64">
        <v>3</v>
      </c>
      <c r="G119" s="64">
        <v>223</v>
      </c>
      <c r="H119" s="66">
        <v>0</v>
      </c>
      <c r="I119" s="24"/>
      <c r="J119" s="31">
        <v>1</v>
      </c>
      <c r="K119" s="31">
        <v>25</v>
      </c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191</v>
      </c>
      <c r="D120" s="64"/>
      <c r="E120" s="64"/>
      <c r="F120" s="64"/>
      <c r="G120" s="64"/>
      <c r="H120" s="66">
        <v>0</v>
      </c>
      <c r="I120" s="24"/>
      <c r="J120" s="31"/>
      <c r="K120" s="31"/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192</v>
      </c>
      <c r="D121" s="64"/>
      <c r="E121" s="64"/>
      <c r="F121" s="64"/>
      <c r="G121" s="64"/>
      <c r="H121" s="66">
        <v>0</v>
      </c>
      <c r="I121" s="24"/>
      <c r="J121" s="31"/>
      <c r="K121" s="31"/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193</v>
      </c>
      <c r="D122" s="31">
        <v>5</v>
      </c>
      <c r="E122" s="31">
        <f>4.4+25+10+10+14</f>
        <v>63.4</v>
      </c>
      <c r="F122" s="31">
        <v>5</v>
      </c>
      <c r="G122" s="31">
        <v>63.4</v>
      </c>
      <c r="H122" s="66">
        <v>0</v>
      </c>
      <c r="I122" s="24"/>
      <c r="J122" s="31">
        <v>5</v>
      </c>
      <c r="K122" s="31">
        <v>63</v>
      </c>
      <c r="L122" s="8"/>
      <c r="M122" s="8"/>
      <c r="N122" s="8"/>
      <c r="O122" s="8"/>
      <c r="P122" s="8"/>
      <c r="Q122" s="8"/>
    </row>
    <row r="123" spans="1:17" ht="15" x14ac:dyDescent="0.25">
      <c r="A123" s="18"/>
      <c r="B123" s="53"/>
      <c r="C123" s="50" t="s">
        <v>194</v>
      </c>
      <c r="D123" s="64">
        <v>4</v>
      </c>
      <c r="E123" s="64">
        <f>200+14+70+2.5</f>
        <v>286.5</v>
      </c>
      <c r="F123" s="64">
        <v>4</v>
      </c>
      <c r="G123" s="64">
        <v>286.5</v>
      </c>
      <c r="H123" s="66">
        <v>0</v>
      </c>
      <c r="I123" s="24"/>
      <c r="J123" s="31"/>
      <c r="K123" s="31"/>
      <c r="L123" s="8"/>
      <c r="M123" s="8"/>
      <c r="N123" s="8"/>
      <c r="O123" s="8"/>
      <c r="P123" s="8"/>
      <c r="Q123" s="8"/>
    </row>
    <row r="124" spans="1:17" ht="15" x14ac:dyDescent="0.25">
      <c r="A124" s="18"/>
      <c r="B124" s="53"/>
      <c r="C124" s="50" t="s">
        <v>195</v>
      </c>
      <c r="D124" s="64"/>
      <c r="E124" s="64"/>
      <c r="F124" s="64"/>
      <c r="G124" s="64"/>
      <c r="H124" s="66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5" x14ac:dyDescent="0.25">
      <c r="A125" s="18"/>
      <c r="B125" s="53"/>
      <c r="C125" s="50" t="s">
        <v>196</v>
      </c>
      <c r="D125" s="64">
        <v>2</v>
      </c>
      <c r="E125" s="64">
        <v>189</v>
      </c>
      <c r="F125" s="64"/>
      <c r="G125" s="64"/>
      <c r="H125" s="66">
        <v>0</v>
      </c>
      <c r="I125" s="24"/>
      <c r="J125" s="31"/>
      <c r="K125" s="31"/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197</v>
      </c>
      <c r="D126" s="31">
        <v>2</v>
      </c>
      <c r="E126" s="31">
        <f>70+45</f>
        <v>115</v>
      </c>
      <c r="F126" s="31">
        <v>2</v>
      </c>
      <c r="G126" s="31">
        <v>115</v>
      </c>
      <c r="H126" s="66">
        <v>0</v>
      </c>
      <c r="I126" s="24"/>
      <c r="J126" s="31"/>
      <c r="K126" s="31"/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198</v>
      </c>
      <c r="D127" s="31">
        <v>1</v>
      </c>
      <c r="E127" s="31">
        <f>160</f>
        <v>160</v>
      </c>
      <c r="F127" s="31">
        <v>1</v>
      </c>
      <c r="G127" s="31">
        <f>160</f>
        <v>160</v>
      </c>
      <c r="H127" s="66">
        <v>0</v>
      </c>
      <c r="I127" s="24"/>
      <c r="J127" s="31"/>
      <c r="K127" s="31"/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199</v>
      </c>
      <c r="D128" s="31"/>
      <c r="E128" s="31"/>
      <c r="F128" s="31"/>
      <c r="G128" s="31"/>
      <c r="H128" s="66">
        <v>0</v>
      </c>
      <c r="I128" s="24"/>
      <c r="J128" s="31"/>
      <c r="K128" s="31"/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200</v>
      </c>
      <c r="D129" s="31">
        <v>2</v>
      </c>
      <c r="E129" s="31">
        <v>185</v>
      </c>
      <c r="F129" s="31">
        <v>2</v>
      </c>
      <c r="G129" s="31">
        <v>185</v>
      </c>
      <c r="H129" s="66">
        <v>0</v>
      </c>
      <c r="I129" s="24"/>
      <c r="J129" s="31"/>
      <c r="K129" s="31"/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201</v>
      </c>
      <c r="D130" s="31">
        <v>1</v>
      </c>
      <c r="E130" s="31">
        <v>25</v>
      </c>
      <c r="F130" s="31">
        <v>1</v>
      </c>
      <c r="G130" s="31">
        <v>25</v>
      </c>
      <c r="H130" s="66">
        <v>0</v>
      </c>
      <c r="I130" s="24"/>
      <c r="J130" s="31"/>
      <c r="K130" s="31"/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202</v>
      </c>
      <c r="D131" s="31"/>
      <c r="E131" s="31"/>
      <c r="F131" s="31"/>
      <c r="G131" s="31"/>
      <c r="H131" s="66">
        <v>0</v>
      </c>
      <c r="I131" s="24"/>
      <c r="J131" s="31"/>
      <c r="K131" s="31"/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203</v>
      </c>
      <c r="D132" s="31"/>
      <c r="E132" s="31"/>
      <c r="F132" s="31"/>
      <c r="G132" s="31"/>
      <c r="H132" s="66">
        <v>0</v>
      </c>
      <c r="I132" s="24"/>
      <c r="J132" s="31"/>
      <c r="K132" s="31"/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204</v>
      </c>
      <c r="D133" s="31">
        <v>1</v>
      </c>
      <c r="E133" s="31">
        <v>32</v>
      </c>
      <c r="F133" s="31">
        <v>1</v>
      </c>
      <c r="G133" s="31">
        <v>4.4000000000000004</v>
      </c>
      <c r="H133" s="66">
        <v>0</v>
      </c>
      <c r="I133" s="24"/>
      <c r="J133" s="31">
        <v>1</v>
      </c>
      <c r="K133" s="31">
        <v>32</v>
      </c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205</v>
      </c>
      <c r="D134" s="31"/>
      <c r="E134" s="31"/>
      <c r="F134" s="31"/>
      <c r="G134" s="31"/>
      <c r="H134" s="66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206</v>
      </c>
      <c r="D135" s="31">
        <v>1</v>
      </c>
      <c r="E135" s="31">
        <v>100</v>
      </c>
      <c r="F135" s="31">
        <v>1</v>
      </c>
      <c r="G135" s="31">
        <v>100</v>
      </c>
      <c r="H135" s="66">
        <v>0</v>
      </c>
      <c r="I135" s="24"/>
      <c r="J135" s="31"/>
      <c r="K135" s="31"/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207</v>
      </c>
      <c r="D136" s="31">
        <v>5</v>
      </c>
      <c r="E136" s="31">
        <f>306+29.25</f>
        <v>335.25</v>
      </c>
      <c r="F136" s="31"/>
      <c r="G136" s="31"/>
      <c r="H136" s="66">
        <v>0</v>
      </c>
      <c r="I136" s="24"/>
      <c r="J136" s="31"/>
      <c r="K136" s="31"/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186</v>
      </c>
      <c r="D137" s="31"/>
      <c r="E137" s="31"/>
      <c r="F137" s="31"/>
      <c r="G137" s="31"/>
      <c r="H137" s="66">
        <v>0</v>
      </c>
      <c r="I137" s="24"/>
      <c r="J137" s="31"/>
      <c r="K137" s="31"/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208</v>
      </c>
      <c r="D138" s="104">
        <v>1</v>
      </c>
      <c r="E138" s="104">
        <v>29.25</v>
      </c>
      <c r="F138" s="104"/>
      <c r="G138" s="104"/>
      <c r="H138" s="66">
        <v>0</v>
      </c>
      <c r="I138" s="104"/>
      <c r="J138" s="109">
        <v>1</v>
      </c>
      <c r="K138" s="109">
        <v>29.25</v>
      </c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209</v>
      </c>
      <c r="D139" s="64">
        <v>2</v>
      </c>
      <c r="E139" s="64">
        <v>105</v>
      </c>
      <c r="F139" s="64">
        <v>1</v>
      </c>
      <c r="G139" s="64">
        <f>15+40</f>
        <v>55</v>
      </c>
      <c r="H139" s="66">
        <v>0</v>
      </c>
      <c r="I139" s="24"/>
      <c r="J139" s="31"/>
      <c r="K139" s="31"/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210</v>
      </c>
      <c r="D140" s="64"/>
      <c r="E140" s="64"/>
      <c r="F140" s="64"/>
      <c r="G140" s="31"/>
      <c r="H140" s="66">
        <v>0</v>
      </c>
      <c r="I140" s="24"/>
      <c r="J140" s="31"/>
      <c r="K140" s="31"/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211</v>
      </c>
      <c r="D141" s="64">
        <v>1</v>
      </c>
      <c r="E141" s="64">
        <v>10</v>
      </c>
      <c r="F141" s="64">
        <v>1</v>
      </c>
      <c r="G141" s="31">
        <v>10</v>
      </c>
      <c r="H141" s="66">
        <v>0</v>
      </c>
      <c r="I141" s="24"/>
      <c r="J141" s="64">
        <v>1</v>
      </c>
      <c r="K141" s="64">
        <v>10</v>
      </c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212</v>
      </c>
      <c r="D142" s="64">
        <v>1</v>
      </c>
      <c r="E142" s="64">
        <v>29.25</v>
      </c>
      <c r="F142" s="64"/>
      <c r="G142" s="31"/>
      <c r="H142" s="66">
        <v>0</v>
      </c>
      <c r="I142" s="24"/>
      <c r="J142" s="64">
        <v>1</v>
      </c>
      <c r="K142" s="64">
        <v>29.25</v>
      </c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0" t="s">
        <v>213</v>
      </c>
      <c r="D143" s="64">
        <v>1</v>
      </c>
      <c r="E143" s="64">
        <v>80</v>
      </c>
      <c r="F143" s="64"/>
      <c r="G143" s="31"/>
      <c r="H143" s="66">
        <v>0</v>
      </c>
      <c r="I143" s="24"/>
      <c r="J143" s="64">
        <v>1</v>
      </c>
      <c r="K143" s="64">
        <v>80</v>
      </c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0" t="s">
        <v>214</v>
      </c>
      <c r="D144" s="64"/>
      <c r="E144" s="64"/>
      <c r="F144" s="64"/>
      <c r="G144" s="31"/>
      <c r="H144" s="66">
        <v>0</v>
      </c>
      <c r="I144" s="24"/>
      <c r="J144" s="64"/>
      <c r="K144" s="64"/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215</v>
      </c>
      <c r="D145" s="64"/>
      <c r="E145" s="64"/>
      <c r="F145" s="64"/>
      <c r="G145" s="31"/>
      <c r="H145" s="66">
        <v>0</v>
      </c>
      <c r="I145" s="24"/>
      <c r="J145" s="31"/>
      <c r="K145" s="31"/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6" t="s">
        <v>216</v>
      </c>
      <c r="D146" s="64">
        <v>1</v>
      </c>
      <c r="E146" s="64">
        <v>100</v>
      </c>
      <c r="F146" s="64">
        <v>1</v>
      </c>
      <c r="G146" s="31">
        <v>100</v>
      </c>
      <c r="H146" s="66">
        <v>0</v>
      </c>
      <c r="I146" s="24"/>
      <c r="J146" s="64">
        <v>1</v>
      </c>
      <c r="K146" s="64">
        <v>100</v>
      </c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7" t="s">
        <v>217</v>
      </c>
      <c r="D147" s="64">
        <v>2</v>
      </c>
      <c r="E147" s="64">
        <v>70</v>
      </c>
      <c r="F147" s="64">
        <v>1</v>
      </c>
      <c r="G147" s="64">
        <f>10+10</f>
        <v>20</v>
      </c>
      <c r="H147" s="66">
        <v>0</v>
      </c>
      <c r="I147" s="24"/>
      <c r="J147" s="31">
        <v>1</v>
      </c>
      <c r="K147" s="31">
        <v>15</v>
      </c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218</v>
      </c>
      <c r="D148" s="64">
        <v>1</v>
      </c>
      <c r="E148" s="64">
        <v>10</v>
      </c>
      <c r="F148" s="64"/>
      <c r="G148" s="31"/>
      <c r="H148" s="66">
        <v>0</v>
      </c>
      <c r="I148" s="24"/>
      <c r="J148" s="64">
        <v>1</v>
      </c>
      <c r="K148" s="64">
        <v>10</v>
      </c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219</v>
      </c>
      <c r="D149" s="64">
        <v>6</v>
      </c>
      <c r="E149" s="64">
        <v>320</v>
      </c>
      <c r="F149" s="64">
        <v>4</v>
      </c>
      <c r="G149" s="31">
        <v>150</v>
      </c>
      <c r="H149" s="66">
        <v>0</v>
      </c>
      <c r="I149" s="24"/>
      <c r="J149" s="31">
        <v>2</v>
      </c>
      <c r="K149" s="31">
        <v>20</v>
      </c>
      <c r="L149" s="8"/>
      <c r="M149" s="8"/>
      <c r="N149" s="8"/>
      <c r="O149" s="8"/>
      <c r="P149" s="8"/>
      <c r="Q149" s="8"/>
    </row>
    <row r="150" spans="1:17" ht="12.75" customHeight="1" x14ac:dyDescent="0.25">
      <c r="A150" s="18"/>
      <c r="B150" s="53"/>
      <c r="C150" s="50" t="s">
        <v>220</v>
      </c>
      <c r="D150" s="65">
        <v>10</v>
      </c>
      <c r="E150" s="65">
        <v>299.25</v>
      </c>
      <c r="F150" s="65">
        <v>5</v>
      </c>
      <c r="G150" s="104">
        <v>100</v>
      </c>
      <c r="H150" s="66">
        <v>0</v>
      </c>
      <c r="I150" s="104"/>
      <c r="J150" s="104">
        <v>1</v>
      </c>
      <c r="K150" s="104">
        <v>10</v>
      </c>
      <c r="L150" s="8"/>
      <c r="M150" s="8"/>
      <c r="N150" s="8"/>
      <c r="O150" s="8"/>
      <c r="P150" s="8"/>
      <c r="Q150" s="8"/>
    </row>
    <row r="151" spans="1:17" ht="12.75" customHeight="1" x14ac:dyDescent="0.25">
      <c r="A151" s="18"/>
      <c r="B151" s="53"/>
      <c r="C151" s="50" t="s">
        <v>221</v>
      </c>
      <c r="D151" s="64"/>
      <c r="E151" s="64"/>
      <c r="F151" s="64"/>
      <c r="G151" s="31"/>
      <c r="H151" s="66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53"/>
      <c r="C152" s="50" t="s">
        <v>222</v>
      </c>
      <c r="D152" s="31"/>
      <c r="E152" s="31"/>
      <c r="F152" s="31"/>
      <c r="G152" s="31"/>
      <c r="H152" s="66">
        <v>0</v>
      </c>
      <c r="I152" s="24"/>
      <c r="J152" s="31"/>
      <c r="K152" s="31"/>
      <c r="L152" s="8"/>
      <c r="M152" s="8"/>
      <c r="N152" s="8"/>
      <c r="O152" s="8"/>
      <c r="P152" s="8"/>
      <c r="Q152" s="8"/>
    </row>
    <row r="153" spans="1:17" ht="18.75" customHeight="1" x14ac:dyDescent="0.2">
      <c r="A153" s="18"/>
      <c r="B153" s="53"/>
      <c r="C153" s="19" t="s">
        <v>30</v>
      </c>
      <c r="D153" s="31">
        <f>SUM(D104:D152)</f>
        <v>176</v>
      </c>
      <c r="E153" s="31">
        <f t="shared" ref="E153:Q153" si="2">SUM(E104:E152)</f>
        <v>17180.55</v>
      </c>
      <c r="F153" s="31">
        <f t="shared" si="2"/>
        <v>103</v>
      </c>
      <c r="G153" s="31">
        <f t="shared" si="2"/>
        <v>6661.5499999999993</v>
      </c>
      <c r="H153" s="31">
        <f t="shared" si="2"/>
        <v>0</v>
      </c>
      <c r="I153" s="31">
        <f t="shared" si="2"/>
        <v>0</v>
      </c>
      <c r="J153" s="31">
        <f t="shared" si="2"/>
        <v>65</v>
      </c>
      <c r="K153" s="31">
        <f t="shared" si="2"/>
        <v>2741.5</v>
      </c>
      <c r="L153" s="31">
        <f t="shared" si="2"/>
        <v>0</v>
      </c>
      <c r="M153" s="31">
        <f t="shared" si="2"/>
        <v>0</v>
      </c>
      <c r="N153" s="31">
        <f t="shared" si="2"/>
        <v>0</v>
      </c>
      <c r="O153" s="31">
        <f t="shared" si="2"/>
        <v>0</v>
      </c>
      <c r="P153" s="31">
        <f t="shared" si="2"/>
        <v>0</v>
      </c>
      <c r="Q153" s="31">
        <f t="shared" si="2"/>
        <v>0</v>
      </c>
    </row>
    <row r="154" spans="1:17" ht="15" x14ac:dyDescent="0.25">
      <c r="A154" s="18"/>
      <c r="B154" s="18"/>
      <c r="C154" s="105" t="s">
        <v>250</v>
      </c>
      <c r="D154" s="31"/>
      <c r="E154" s="31"/>
      <c r="F154" s="31"/>
      <c r="G154" s="31"/>
      <c r="H154" s="66">
        <v>0</v>
      </c>
      <c r="I154" s="24"/>
      <c r="J154" s="31"/>
      <c r="K154" s="31"/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224</v>
      </c>
      <c r="D155" s="31">
        <v>13</v>
      </c>
      <c r="E155" s="31">
        <f>2241+41.9</f>
        <v>2282.9</v>
      </c>
      <c r="F155" s="31">
        <v>8</v>
      </c>
      <c r="G155" s="31">
        <v>769</v>
      </c>
      <c r="H155" s="66">
        <v>0</v>
      </c>
      <c r="I155" s="24"/>
      <c r="J155" s="31">
        <v>9</v>
      </c>
      <c r="K155" s="31">
        <v>656</v>
      </c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225</v>
      </c>
      <c r="D156" s="31">
        <v>25</v>
      </c>
      <c r="E156" s="31">
        <f>1830+500+300+29.25</f>
        <v>2659.25</v>
      </c>
      <c r="F156" s="31">
        <v>19</v>
      </c>
      <c r="G156" s="31">
        <v>1830</v>
      </c>
      <c r="H156" s="66">
        <v>0</v>
      </c>
      <c r="I156" s="24"/>
      <c r="J156" s="31">
        <v>6</v>
      </c>
      <c r="K156" s="31">
        <v>560</v>
      </c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346</v>
      </c>
      <c r="D157" s="31"/>
      <c r="E157" s="31"/>
      <c r="F157" s="31"/>
      <c r="G157" s="31"/>
      <c r="H157" s="66">
        <v>0</v>
      </c>
      <c r="I157" s="24"/>
      <c r="J157" s="31"/>
      <c r="K157" s="31"/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226</v>
      </c>
      <c r="D158" s="31"/>
      <c r="E158" s="31"/>
      <c r="F158" s="31"/>
      <c r="G158" s="31"/>
      <c r="H158" s="66">
        <v>0</v>
      </c>
      <c r="I158" s="24"/>
      <c r="J158" s="31"/>
      <c r="K158" s="31"/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227</v>
      </c>
      <c r="D159" s="31"/>
      <c r="E159" s="31"/>
      <c r="F159" s="31"/>
      <c r="G159" s="31"/>
      <c r="H159" s="66">
        <v>0</v>
      </c>
      <c r="I159" s="24"/>
      <c r="J159" s="31"/>
      <c r="K159" s="31"/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228</v>
      </c>
      <c r="D160" s="31">
        <v>1</v>
      </c>
      <c r="E160" s="31">
        <v>90</v>
      </c>
      <c r="F160" s="31">
        <v>1</v>
      </c>
      <c r="G160" s="31">
        <v>90</v>
      </c>
      <c r="H160" s="66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229</v>
      </c>
      <c r="D161" s="104">
        <v>1</v>
      </c>
      <c r="E161" s="104">
        <v>10</v>
      </c>
      <c r="F161" s="104">
        <v>1</v>
      </c>
      <c r="G161" s="104">
        <v>10</v>
      </c>
      <c r="H161" s="66">
        <v>0</v>
      </c>
      <c r="I161" s="104"/>
      <c r="J161" s="109">
        <v>1</v>
      </c>
      <c r="K161" s="109">
        <v>10</v>
      </c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230</v>
      </c>
      <c r="D162" s="31">
        <v>1</v>
      </c>
      <c r="E162" s="31">
        <v>10</v>
      </c>
      <c r="F162" s="31">
        <v>1</v>
      </c>
      <c r="G162" s="31">
        <v>10</v>
      </c>
      <c r="H162" s="66">
        <v>0</v>
      </c>
      <c r="I162" s="24"/>
      <c r="J162" s="31">
        <v>1</v>
      </c>
      <c r="K162" s="31">
        <v>63</v>
      </c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231</v>
      </c>
      <c r="D163" s="31">
        <v>1</v>
      </c>
      <c r="E163" s="31">
        <v>400</v>
      </c>
      <c r="F163" s="31"/>
      <c r="G163" s="31"/>
      <c r="H163" s="66">
        <v>0</v>
      </c>
      <c r="I163" s="24"/>
      <c r="J163" s="31"/>
      <c r="K163" s="31"/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232</v>
      </c>
      <c r="D164" s="64">
        <v>2</v>
      </c>
      <c r="E164" s="64">
        <v>1575</v>
      </c>
      <c r="F164" s="64">
        <v>2</v>
      </c>
      <c r="G164" s="64">
        <v>1575</v>
      </c>
      <c r="H164" s="66">
        <v>0</v>
      </c>
      <c r="I164" s="24"/>
      <c r="J164" s="31">
        <v>1</v>
      </c>
      <c r="K164" s="31">
        <v>75</v>
      </c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233</v>
      </c>
      <c r="D165" s="64"/>
      <c r="E165" s="64"/>
      <c r="F165" s="64"/>
      <c r="G165" s="64"/>
      <c r="H165" s="66">
        <v>0</v>
      </c>
      <c r="I165" s="24"/>
      <c r="J165" s="31"/>
      <c r="K165" s="31"/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234</v>
      </c>
      <c r="D166" s="64"/>
      <c r="E166" s="64"/>
      <c r="F166" s="64"/>
      <c r="G166" s="64"/>
      <c r="H166" s="66">
        <v>0</v>
      </c>
      <c r="I166" s="24"/>
      <c r="J166" s="31"/>
      <c r="K166" s="31"/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235</v>
      </c>
      <c r="D167" s="64">
        <v>1</v>
      </c>
      <c r="E167" s="64">
        <f>120</f>
        <v>120</v>
      </c>
      <c r="F167" s="64">
        <v>2</v>
      </c>
      <c r="G167" s="64">
        <v>45</v>
      </c>
      <c r="H167" s="66">
        <v>0</v>
      </c>
      <c r="I167" s="24"/>
      <c r="J167" s="64">
        <v>1</v>
      </c>
      <c r="K167" s="64">
        <f>120</f>
        <v>120</v>
      </c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347</v>
      </c>
      <c r="D168" s="64">
        <v>1</v>
      </c>
      <c r="E168" s="64">
        <v>40</v>
      </c>
      <c r="F168" s="64">
        <v>1</v>
      </c>
      <c r="G168" s="64">
        <v>40</v>
      </c>
      <c r="H168" s="66">
        <v>0</v>
      </c>
      <c r="I168" s="24"/>
      <c r="J168" s="64">
        <v>1</v>
      </c>
      <c r="K168" s="64">
        <v>40</v>
      </c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236</v>
      </c>
      <c r="D169" s="64">
        <v>4</v>
      </c>
      <c r="E169" s="64">
        <v>219.25</v>
      </c>
      <c r="F169" s="64"/>
      <c r="G169" s="64"/>
      <c r="H169" s="66">
        <v>0</v>
      </c>
      <c r="I169" s="24"/>
      <c r="J169" s="64">
        <v>2</v>
      </c>
      <c r="K169" s="64">
        <v>105</v>
      </c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237</v>
      </c>
      <c r="D170" s="64">
        <v>2</v>
      </c>
      <c r="E170" s="64">
        <v>180</v>
      </c>
      <c r="F170" s="64"/>
      <c r="G170" s="64"/>
      <c r="H170" s="66">
        <v>0</v>
      </c>
      <c r="I170" s="24"/>
      <c r="J170" s="64">
        <v>2</v>
      </c>
      <c r="K170" s="64">
        <v>180</v>
      </c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238</v>
      </c>
      <c r="D171" s="64">
        <v>2</v>
      </c>
      <c r="E171" s="64">
        <v>240</v>
      </c>
      <c r="F171" s="64">
        <v>2</v>
      </c>
      <c r="G171" s="64">
        <v>20</v>
      </c>
      <c r="H171" s="66">
        <v>0</v>
      </c>
      <c r="I171" s="24"/>
      <c r="J171" s="64"/>
      <c r="K171" s="64"/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239</v>
      </c>
      <c r="D172" s="64"/>
      <c r="E172" s="64"/>
      <c r="F172" s="64"/>
      <c r="G172" s="64"/>
      <c r="H172" s="66">
        <v>0</v>
      </c>
      <c r="I172" s="24"/>
      <c r="J172" s="31"/>
      <c r="K172" s="31"/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240</v>
      </c>
      <c r="D173" s="65">
        <v>2</v>
      </c>
      <c r="E173" s="65">
        <v>135</v>
      </c>
      <c r="F173" s="65">
        <v>2</v>
      </c>
      <c r="G173" s="65">
        <v>35</v>
      </c>
      <c r="H173" s="66">
        <v>0</v>
      </c>
      <c r="I173" s="104"/>
      <c r="J173" s="104"/>
      <c r="K173" s="104"/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241</v>
      </c>
      <c r="D174" s="64"/>
      <c r="E174" s="64"/>
      <c r="F174" s="64"/>
      <c r="G174" s="64"/>
      <c r="H174" s="66">
        <v>0</v>
      </c>
      <c r="I174" s="104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242</v>
      </c>
      <c r="D175" s="64">
        <v>1</v>
      </c>
      <c r="E175" s="64">
        <v>40</v>
      </c>
      <c r="F175" s="64"/>
      <c r="G175" s="64"/>
      <c r="H175" s="66">
        <v>0</v>
      </c>
      <c r="I175" s="104"/>
      <c r="J175" s="64">
        <v>1</v>
      </c>
      <c r="K175" s="64">
        <v>40</v>
      </c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348</v>
      </c>
      <c r="D176" s="64"/>
      <c r="E176" s="64"/>
      <c r="F176" s="64"/>
      <c r="G176" s="64"/>
      <c r="H176" s="66">
        <v>0</v>
      </c>
      <c r="I176" s="104"/>
      <c r="J176" s="31"/>
      <c r="K176" s="31"/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243</v>
      </c>
      <c r="D177" s="64"/>
      <c r="E177" s="64"/>
      <c r="F177" s="64"/>
      <c r="G177" s="64"/>
      <c r="H177" s="66">
        <v>0</v>
      </c>
      <c r="I177" s="104"/>
      <c r="J177" s="31"/>
      <c r="K177" s="31"/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349</v>
      </c>
      <c r="D178" s="64">
        <v>6</v>
      </c>
      <c r="E178" s="64">
        <f>30+15+100+100+15+10</f>
        <v>270</v>
      </c>
      <c r="F178" s="64">
        <v>1</v>
      </c>
      <c r="G178" s="64">
        <v>70</v>
      </c>
      <c r="H178" s="66">
        <v>0</v>
      </c>
      <c r="I178" s="104"/>
      <c r="J178" s="64">
        <v>2</v>
      </c>
      <c r="K178" s="64">
        <v>100</v>
      </c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244</v>
      </c>
      <c r="D179" s="64">
        <v>2</v>
      </c>
      <c r="E179" s="64">
        <v>110</v>
      </c>
      <c r="F179" s="64">
        <v>2</v>
      </c>
      <c r="G179" s="64">
        <v>110</v>
      </c>
      <c r="H179" s="66">
        <v>0</v>
      </c>
      <c r="I179" s="104"/>
      <c r="J179" s="64">
        <v>2</v>
      </c>
      <c r="K179" s="64">
        <v>110</v>
      </c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245</v>
      </c>
      <c r="D180" s="31">
        <v>2</v>
      </c>
      <c r="E180" s="31">
        <v>160</v>
      </c>
      <c r="F180" s="31">
        <v>2</v>
      </c>
      <c r="G180" s="31">
        <v>160</v>
      </c>
      <c r="H180" s="66">
        <v>0</v>
      </c>
      <c r="I180" s="104"/>
      <c r="J180" s="31">
        <v>2</v>
      </c>
      <c r="K180" s="31">
        <v>160</v>
      </c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18" t="s">
        <v>246</v>
      </c>
      <c r="D181" s="31">
        <v>1</v>
      </c>
      <c r="E181" s="31">
        <v>80</v>
      </c>
      <c r="F181" s="31">
        <v>1</v>
      </c>
      <c r="G181" s="31">
        <v>10</v>
      </c>
      <c r="H181" s="66">
        <v>0</v>
      </c>
      <c r="I181" s="104"/>
      <c r="J181" s="31">
        <v>1</v>
      </c>
      <c r="K181" s="31">
        <v>80</v>
      </c>
      <c r="L181" s="8"/>
      <c r="M181" s="8"/>
      <c r="N181" s="8"/>
      <c r="O181" s="8"/>
      <c r="P181" s="8"/>
      <c r="Q181" s="8"/>
    </row>
    <row r="182" spans="1:17" ht="12.75" customHeight="1" x14ac:dyDescent="0.25">
      <c r="A182" s="18"/>
      <c r="B182" s="18"/>
      <c r="C182" s="18" t="s">
        <v>247</v>
      </c>
      <c r="D182" s="31">
        <v>1</v>
      </c>
      <c r="E182" s="31">
        <v>70</v>
      </c>
      <c r="F182" s="31">
        <v>1</v>
      </c>
      <c r="G182" s="31">
        <v>10</v>
      </c>
      <c r="H182" s="66">
        <v>0</v>
      </c>
      <c r="I182" s="104"/>
      <c r="J182" s="31">
        <v>1</v>
      </c>
      <c r="K182" s="31">
        <v>70</v>
      </c>
      <c r="L182" s="8"/>
      <c r="M182" s="8"/>
      <c r="N182" s="8"/>
      <c r="O182" s="8"/>
      <c r="P182" s="8"/>
      <c r="Q182" s="8"/>
    </row>
    <row r="183" spans="1:17" ht="12.75" customHeight="1" x14ac:dyDescent="0.25">
      <c r="A183" s="18"/>
      <c r="B183" s="18"/>
      <c r="C183" s="18" t="s">
        <v>249</v>
      </c>
      <c r="D183" s="31">
        <v>2</v>
      </c>
      <c r="E183" s="31">
        <v>120</v>
      </c>
      <c r="F183" s="31">
        <v>2</v>
      </c>
      <c r="G183" s="31">
        <v>20</v>
      </c>
      <c r="H183" s="66">
        <v>0</v>
      </c>
      <c r="I183" s="104"/>
      <c r="J183" s="31">
        <v>2</v>
      </c>
      <c r="K183" s="31">
        <v>120</v>
      </c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18"/>
      <c r="C184" s="54" t="s">
        <v>248</v>
      </c>
      <c r="D184" s="31">
        <v>3</v>
      </c>
      <c r="E184" s="31">
        <f>15+15+40</f>
        <v>70</v>
      </c>
      <c r="F184" s="31">
        <v>3</v>
      </c>
      <c r="G184" s="31">
        <v>70</v>
      </c>
      <c r="H184" s="66">
        <v>0</v>
      </c>
      <c r="I184" s="104"/>
      <c r="J184" s="31">
        <v>3</v>
      </c>
      <c r="K184" s="31">
        <f>15+15+40</f>
        <v>70</v>
      </c>
      <c r="L184" s="8"/>
      <c r="M184" s="8"/>
      <c r="N184" s="8"/>
      <c r="O184" s="8"/>
      <c r="P184" s="8"/>
      <c r="Q184" s="8"/>
    </row>
    <row r="185" spans="1:17" ht="12.75" customHeight="1" x14ac:dyDescent="0.2">
      <c r="A185" s="18"/>
      <c r="B185" s="18"/>
      <c r="C185" s="19" t="s">
        <v>30</v>
      </c>
      <c r="D185" s="31">
        <f>SUM(D155:D184)</f>
        <v>74</v>
      </c>
      <c r="E185" s="31">
        <f t="shared" ref="E185:Q185" si="3">SUM(E155:E184)</f>
        <v>8881.4</v>
      </c>
      <c r="F185" s="31">
        <f t="shared" si="3"/>
        <v>51</v>
      </c>
      <c r="G185" s="31">
        <f t="shared" si="3"/>
        <v>4874</v>
      </c>
      <c r="H185" s="31">
        <f t="shared" si="3"/>
        <v>0</v>
      </c>
      <c r="I185" s="31">
        <f t="shared" si="3"/>
        <v>0</v>
      </c>
      <c r="J185" s="31">
        <f t="shared" si="3"/>
        <v>38</v>
      </c>
      <c r="K185" s="31">
        <f t="shared" si="3"/>
        <v>2559</v>
      </c>
      <c r="L185" s="31">
        <f t="shared" si="3"/>
        <v>0</v>
      </c>
      <c r="M185" s="31">
        <f t="shared" si="3"/>
        <v>0</v>
      </c>
      <c r="N185" s="31">
        <f t="shared" si="3"/>
        <v>0</v>
      </c>
      <c r="O185" s="31">
        <f t="shared" si="3"/>
        <v>0</v>
      </c>
      <c r="P185" s="31">
        <f t="shared" si="3"/>
        <v>0</v>
      </c>
      <c r="Q185" s="31">
        <f t="shared" si="3"/>
        <v>0</v>
      </c>
    </row>
    <row r="186" spans="1:17" ht="15" x14ac:dyDescent="0.25">
      <c r="A186" s="18"/>
      <c r="B186" s="18"/>
      <c r="C186" s="58" t="s">
        <v>259</v>
      </c>
      <c r="D186" s="31"/>
      <c r="E186" s="31"/>
      <c r="F186" s="31"/>
      <c r="G186" s="31"/>
      <c r="H186" s="66">
        <v>0</v>
      </c>
      <c r="I186" s="104"/>
      <c r="J186" s="31"/>
      <c r="K186" s="31"/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7" t="s">
        <v>251</v>
      </c>
      <c r="D187" s="31">
        <v>6</v>
      </c>
      <c r="E187" s="31">
        <v>306</v>
      </c>
      <c r="F187" s="31">
        <v>5</v>
      </c>
      <c r="G187" s="31">
        <v>45</v>
      </c>
      <c r="H187" s="66">
        <v>0</v>
      </c>
      <c r="I187" s="104"/>
      <c r="J187" s="31">
        <v>1</v>
      </c>
      <c r="K187" s="31">
        <v>40</v>
      </c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252</v>
      </c>
      <c r="D188" s="31">
        <v>1</v>
      </c>
      <c r="E188" s="31">
        <v>90</v>
      </c>
      <c r="F188" s="31">
        <v>1</v>
      </c>
      <c r="G188" s="31">
        <v>10</v>
      </c>
      <c r="H188" s="66">
        <v>0</v>
      </c>
      <c r="I188" s="104"/>
      <c r="J188" s="31">
        <v>1</v>
      </c>
      <c r="K188" s="31">
        <v>90</v>
      </c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253</v>
      </c>
      <c r="D189" s="31">
        <v>1</v>
      </c>
      <c r="E189" s="31">
        <v>15</v>
      </c>
      <c r="F189" s="31">
        <v>1</v>
      </c>
      <c r="G189" s="31">
        <v>15</v>
      </c>
      <c r="H189" s="66">
        <v>0</v>
      </c>
      <c r="I189" s="104"/>
      <c r="J189" s="31">
        <v>1</v>
      </c>
      <c r="K189" s="31">
        <v>15</v>
      </c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254</v>
      </c>
      <c r="D190" s="31"/>
      <c r="E190" s="31"/>
      <c r="F190" s="31"/>
      <c r="G190" s="31"/>
      <c r="H190" s="66">
        <v>0</v>
      </c>
      <c r="I190" s="104"/>
      <c r="J190" s="31"/>
      <c r="K190" s="31"/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255</v>
      </c>
      <c r="D191" s="31"/>
      <c r="E191" s="31"/>
      <c r="F191" s="31"/>
      <c r="G191" s="31"/>
      <c r="H191" s="66">
        <v>0</v>
      </c>
      <c r="I191" s="104"/>
      <c r="J191" s="31"/>
      <c r="K191" s="31"/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50" t="s">
        <v>256</v>
      </c>
      <c r="D192" s="31"/>
      <c r="E192" s="31"/>
      <c r="F192" s="31"/>
      <c r="G192" s="31"/>
      <c r="H192" s="66">
        <v>0</v>
      </c>
      <c r="I192" s="104"/>
      <c r="J192" s="31"/>
      <c r="K192" s="31"/>
      <c r="L192" s="8"/>
      <c r="M192" s="8"/>
      <c r="N192" s="8"/>
      <c r="O192" s="8"/>
      <c r="P192" s="8"/>
      <c r="Q192" s="8"/>
    </row>
    <row r="193" spans="1:17" ht="12.75" customHeight="1" x14ac:dyDescent="0.25">
      <c r="A193" s="18"/>
      <c r="B193" s="53"/>
      <c r="C193" s="50" t="s">
        <v>257</v>
      </c>
      <c r="D193" s="31"/>
      <c r="E193" s="31"/>
      <c r="F193" s="31"/>
      <c r="G193" s="31"/>
      <c r="H193" s="66">
        <v>0</v>
      </c>
      <c r="I193" s="104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258</v>
      </c>
      <c r="D194" s="31"/>
      <c r="E194" s="31"/>
      <c r="F194" s="31"/>
      <c r="G194" s="31"/>
      <c r="H194" s="66">
        <v>0</v>
      </c>
      <c r="I194" s="104"/>
      <c r="J194" s="31"/>
      <c r="K194" s="31"/>
      <c r="L194" s="8"/>
      <c r="M194" s="8"/>
      <c r="N194" s="8"/>
      <c r="O194" s="8"/>
      <c r="P194" s="8"/>
      <c r="Q194" s="8"/>
    </row>
    <row r="195" spans="1:17" ht="12.75" customHeight="1" x14ac:dyDescent="0.2">
      <c r="A195" s="18"/>
      <c r="B195" s="53"/>
      <c r="C195" s="19" t="s">
        <v>30</v>
      </c>
      <c r="D195" s="31">
        <f>SUM(D187:D194)</f>
        <v>8</v>
      </c>
      <c r="E195" s="31">
        <f t="shared" ref="E195:Q195" si="4">SUM(E187:E194)</f>
        <v>411</v>
      </c>
      <c r="F195" s="31">
        <f t="shared" si="4"/>
        <v>7</v>
      </c>
      <c r="G195" s="31">
        <f t="shared" si="4"/>
        <v>70</v>
      </c>
      <c r="H195" s="31">
        <f t="shared" si="4"/>
        <v>0</v>
      </c>
      <c r="I195" s="31">
        <f t="shared" si="4"/>
        <v>0</v>
      </c>
      <c r="J195" s="31">
        <f t="shared" si="4"/>
        <v>3</v>
      </c>
      <c r="K195" s="31">
        <f t="shared" si="4"/>
        <v>145</v>
      </c>
      <c r="L195" s="31">
        <f t="shared" si="4"/>
        <v>0</v>
      </c>
      <c r="M195" s="31">
        <f t="shared" si="4"/>
        <v>0</v>
      </c>
      <c r="N195" s="31">
        <f t="shared" si="4"/>
        <v>0</v>
      </c>
      <c r="O195" s="31">
        <f t="shared" si="4"/>
        <v>0</v>
      </c>
      <c r="P195" s="31">
        <f t="shared" si="4"/>
        <v>0</v>
      </c>
      <c r="Q195" s="31">
        <f t="shared" si="4"/>
        <v>0</v>
      </c>
    </row>
    <row r="196" spans="1:17" ht="15" x14ac:dyDescent="0.25">
      <c r="A196" s="18"/>
      <c r="B196" s="53"/>
      <c r="C196" s="60" t="s">
        <v>265</v>
      </c>
      <c r="D196" s="31"/>
      <c r="E196" s="31"/>
      <c r="F196" s="31"/>
      <c r="G196" s="31"/>
      <c r="H196" s="66">
        <v>0</v>
      </c>
      <c r="I196" s="104"/>
      <c r="J196" s="31"/>
      <c r="K196" s="31"/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260</v>
      </c>
      <c r="D197" s="31">
        <v>19</v>
      </c>
      <c r="E197" s="31">
        <f>520+420</f>
        <v>940</v>
      </c>
      <c r="F197" s="31">
        <v>15</v>
      </c>
      <c r="G197" s="31">
        <v>420</v>
      </c>
      <c r="H197" s="66">
        <v>0</v>
      </c>
      <c r="I197" s="104"/>
      <c r="J197" s="31">
        <v>7</v>
      </c>
      <c r="K197" s="31">
        <v>310</v>
      </c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261</v>
      </c>
      <c r="D198" s="31">
        <v>1</v>
      </c>
      <c r="E198" s="31">
        <v>29.25</v>
      </c>
      <c r="F198" s="31">
        <v>1</v>
      </c>
      <c r="G198" s="31">
        <v>29.25</v>
      </c>
      <c r="H198" s="66">
        <v>0</v>
      </c>
      <c r="I198" s="104"/>
      <c r="J198" s="31">
        <v>1</v>
      </c>
      <c r="K198" s="31">
        <v>29.25</v>
      </c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53"/>
      <c r="C199" s="50" t="s">
        <v>262</v>
      </c>
      <c r="D199" s="74">
        <v>5</v>
      </c>
      <c r="E199" s="74">
        <v>400</v>
      </c>
      <c r="F199" s="74"/>
      <c r="G199" s="74"/>
      <c r="H199" s="66">
        <v>0</v>
      </c>
      <c r="I199" s="104"/>
      <c r="J199" s="74">
        <v>2</v>
      </c>
      <c r="K199" s="74">
        <v>160</v>
      </c>
      <c r="L199" s="8"/>
      <c r="M199" s="8"/>
      <c r="N199" s="8"/>
      <c r="O199" s="8"/>
      <c r="P199" s="8"/>
      <c r="Q199" s="8"/>
    </row>
    <row r="200" spans="1:17" ht="12.75" customHeight="1" x14ac:dyDescent="0.25">
      <c r="A200" s="18"/>
      <c r="B200" s="53"/>
      <c r="C200" s="50" t="s">
        <v>263</v>
      </c>
      <c r="D200" s="31"/>
      <c r="E200" s="31"/>
      <c r="F200" s="31"/>
      <c r="G200" s="31"/>
      <c r="H200" s="66">
        <v>0</v>
      </c>
      <c r="I200" s="104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264</v>
      </c>
      <c r="D201" s="31">
        <v>3</v>
      </c>
      <c r="E201" s="31">
        <v>535</v>
      </c>
      <c r="F201" s="31">
        <v>1</v>
      </c>
      <c r="G201" s="31">
        <v>65</v>
      </c>
      <c r="H201" s="66">
        <v>0</v>
      </c>
      <c r="I201" s="104"/>
      <c r="J201" s="31"/>
      <c r="K201" s="31"/>
      <c r="L201" s="8"/>
      <c r="M201" s="8"/>
      <c r="N201" s="8"/>
      <c r="O201" s="8"/>
      <c r="P201" s="8"/>
      <c r="Q201" s="8"/>
    </row>
    <row r="202" spans="1:17" ht="12.75" customHeight="1" x14ac:dyDescent="0.2">
      <c r="A202" s="18"/>
      <c r="B202" s="18"/>
      <c r="C202" s="59" t="s">
        <v>30</v>
      </c>
      <c r="D202" s="31">
        <f t="shared" ref="D202:Q202" si="5">SUM(D197:D201)</f>
        <v>28</v>
      </c>
      <c r="E202" s="31">
        <f t="shared" si="5"/>
        <v>1904.25</v>
      </c>
      <c r="F202" s="31">
        <f t="shared" si="5"/>
        <v>17</v>
      </c>
      <c r="G202" s="31">
        <f t="shared" si="5"/>
        <v>514.25</v>
      </c>
      <c r="H202" s="31">
        <f t="shared" si="5"/>
        <v>0</v>
      </c>
      <c r="I202" s="31">
        <f t="shared" si="5"/>
        <v>0</v>
      </c>
      <c r="J202" s="31">
        <f t="shared" si="5"/>
        <v>10</v>
      </c>
      <c r="K202" s="31">
        <f t="shared" si="5"/>
        <v>499.25</v>
      </c>
      <c r="L202" s="31">
        <f t="shared" si="5"/>
        <v>0</v>
      </c>
      <c r="M202" s="31">
        <f t="shared" si="5"/>
        <v>0</v>
      </c>
      <c r="N202" s="31">
        <f t="shared" si="5"/>
        <v>0</v>
      </c>
      <c r="O202" s="31">
        <f t="shared" si="5"/>
        <v>0</v>
      </c>
      <c r="P202" s="31">
        <f t="shared" si="5"/>
        <v>0</v>
      </c>
      <c r="Q202" s="31">
        <f t="shared" si="5"/>
        <v>0</v>
      </c>
    </row>
    <row r="203" spans="1:17" ht="15" x14ac:dyDescent="0.25">
      <c r="A203" s="18"/>
      <c r="B203" s="18"/>
      <c r="C203" s="51" t="s">
        <v>305</v>
      </c>
      <c r="D203" s="31"/>
      <c r="E203" s="31"/>
      <c r="F203" s="31"/>
      <c r="G203" s="31"/>
      <c r="H203" s="66">
        <v>0</v>
      </c>
      <c r="I203" s="104"/>
      <c r="J203" s="31"/>
      <c r="K203" s="31"/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266</v>
      </c>
      <c r="D204" s="31">
        <v>3</v>
      </c>
      <c r="E204" s="31">
        <v>296</v>
      </c>
      <c r="F204" s="31"/>
      <c r="G204" s="31"/>
      <c r="H204" s="66">
        <v>0</v>
      </c>
      <c r="I204" s="104"/>
      <c r="J204" s="31">
        <v>5</v>
      </c>
      <c r="K204" s="31">
        <v>310</v>
      </c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267</v>
      </c>
      <c r="D205" s="31"/>
      <c r="E205" s="31"/>
      <c r="F205" s="31"/>
      <c r="G205" s="31"/>
      <c r="H205" s="66">
        <v>0</v>
      </c>
      <c r="I205" s="104"/>
      <c r="J205" s="31"/>
      <c r="K205" s="31"/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7" t="s">
        <v>268</v>
      </c>
      <c r="D206" s="31"/>
      <c r="E206" s="31"/>
      <c r="F206" s="31"/>
      <c r="G206" s="31"/>
      <c r="H206" s="66">
        <v>0</v>
      </c>
      <c r="I206" s="104"/>
      <c r="J206" s="31"/>
      <c r="K206" s="31"/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269</v>
      </c>
      <c r="D207" s="31"/>
      <c r="E207" s="31"/>
      <c r="F207" s="31"/>
      <c r="G207" s="31"/>
      <c r="H207" s="66">
        <v>0</v>
      </c>
      <c r="I207" s="104"/>
      <c r="J207" s="31"/>
      <c r="K207" s="31"/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270</v>
      </c>
      <c r="D208" s="31">
        <v>32</v>
      </c>
      <c r="E208" s="31">
        <f>2789+40</f>
        <v>2829</v>
      </c>
      <c r="F208" s="31">
        <v>6</v>
      </c>
      <c r="G208" s="31">
        <v>945</v>
      </c>
      <c r="H208" s="66">
        <v>0</v>
      </c>
      <c r="I208" s="104"/>
      <c r="J208" s="31">
        <v>12</v>
      </c>
      <c r="K208" s="31">
        <v>920</v>
      </c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271</v>
      </c>
      <c r="D209" s="31">
        <v>2</v>
      </c>
      <c r="E209" s="31">
        <f>10+10</f>
        <v>20</v>
      </c>
      <c r="F209" s="31">
        <v>2</v>
      </c>
      <c r="G209" s="31">
        <f>10+10</f>
        <v>20</v>
      </c>
      <c r="H209" s="66">
        <v>0</v>
      </c>
      <c r="I209" s="104"/>
      <c r="J209" s="31">
        <v>2</v>
      </c>
      <c r="K209" s="31">
        <f>10+10</f>
        <v>20</v>
      </c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272</v>
      </c>
      <c r="D210" s="31">
        <v>1</v>
      </c>
      <c r="E210" s="31">
        <v>10</v>
      </c>
      <c r="F210" s="31">
        <v>1</v>
      </c>
      <c r="G210" s="31">
        <v>10</v>
      </c>
      <c r="H210" s="66">
        <v>0</v>
      </c>
      <c r="I210" s="104"/>
      <c r="J210" s="31">
        <v>1</v>
      </c>
      <c r="K210" s="31">
        <v>10</v>
      </c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273</v>
      </c>
      <c r="D211" s="31">
        <v>5</v>
      </c>
      <c r="E211" s="31">
        <v>129.25</v>
      </c>
      <c r="F211" s="31">
        <v>4</v>
      </c>
      <c r="G211" s="31">
        <v>100</v>
      </c>
      <c r="H211" s="66">
        <v>0</v>
      </c>
      <c r="I211" s="104"/>
      <c r="J211" s="31">
        <v>5</v>
      </c>
      <c r="K211" s="31">
        <v>129.25</v>
      </c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274</v>
      </c>
      <c r="D212" s="31">
        <v>1</v>
      </c>
      <c r="E212" s="31">
        <v>10</v>
      </c>
      <c r="F212" s="31">
        <v>1</v>
      </c>
      <c r="G212" s="31">
        <v>10</v>
      </c>
      <c r="H212" s="66">
        <v>0</v>
      </c>
      <c r="I212" s="104"/>
      <c r="J212" s="31">
        <v>1</v>
      </c>
      <c r="K212" s="31">
        <v>10</v>
      </c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275</v>
      </c>
      <c r="D213" s="31">
        <v>6</v>
      </c>
      <c r="E213" s="31">
        <v>420</v>
      </c>
      <c r="F213" s="31">
        <v>3</v>
      </c>
      <c r="G213" s="31">
        <v>100</v>
      </c>
      <c r="H213" s="66">
        <v>0</v>
      </c>
      <c r="I213" s="104"/>
      <c r="J213" s="31">
        <v>2</v>
      </c>
      <c r="K213" s="31">
        <v>210</v>
      </c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276</v>
      </c>
      <c r="D214" s="31">
        <v>4</v>
      </c>
      <c r="E214" s="31">
        <f>10+10+4.4+4.4</f>
        <v>28.799999999999997</v>
      </c>
      <c r="F214" s="31"/>
      <c r="G214" s="31"/>
      <c r="H214" s="66">
        <v>0</v>
      </c>
      <c r="I214" s="104"/>
      <c r="J214" s="31">
        <v>1</v>
      </c>
      <c r="K214" s="31">
        <v>40</v>
      </c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277</v>
      </c>
      <c r="D215" s="31">
        <v>4</v>
      </c>
      <c r="E215" s="31">
        <f>320+120</f>
        <v>440</v>
      </c>
      <c r="F215" s="31">
        <v>3</v>
      </c>
      <c r="G215" s="31">
        <v>120</v>
      </c>
      <c r="H215" s="66">
        <v>0</v>
      </c>
      <c r="I215" s="104"/>
      <c r="J215" s="31">
        <v>1</v>
      </c>
      <c r="K215" s="31">
        <v>25.2</v>
      </c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278</v>
      </c>
      <c r="D216" s="31">
        <v>2</v>
      </c>
      <c r="E216" s="31">
        <f>8+4.4</f>
        <v>12.4</v>
      </c>
      <c r="F216" s="31">
        <v>2</v>
      </c>
      <c r="G216" s="31">
        <f>8+4.4</f>
        <v>12.4</v>
      </c>
      <c r="H216" s="66">
        <v>0</v>
      </c>
      <c r="I216" s="104"/>
      <c r="J216" s="31"/>
      <c r="K216" s="31"/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279</v>
      </c>
      <c r="D217" s="31"/>
      <c r="E217" s="31"/>
      <c r="F217" s="31"/>
      <c r="G217" s="31"/>
      <c r="H217" s="66">
        <v>0</v>
      </c>
      <c r="I217" s="104"/>
      <c r="J217" s="31"/>
      <c r="K217" s="31"/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280</v>
      </c>
      <c r="D218" s="31">
        <v>2</v>
      </c>
      <c r="E218" s="31">
        <v>140</v>
      </c>
      <c r="F218" s="31">
        <v>1</v>
      </c>
      <c r="G218" s="31">
        <v>4.4000000000000004</v>
      </c>
      <c r="H218" s="66">
        <v>0</v>
      </c>
      <c r="I218" s="104"/>
      <c r="J218" s="31">
        <v>2</v>
      </c>
      <c r="K218" s="31">
        <v>140</v>
      </c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281</v>
      </c>
      <c r="D219" s="31">
        <v>12</v>
      </c>
      <c r="E219" s="31">
        <v>260</v>
      </c>
      <c r="F219" s="31">
        <v>2</v>
      </c>
      <c r="G219" s="31">
        <v>44</v>
      </c>
      <c r="H219" s="66">
        <v>0</v>
      </c>
      <c r="I219" s="104"/>
      <c r="J219" s="31">
        <v>12</v>
      </c>
      <c r="K219" s="31">
        <v>260</v>
      </c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282</v>
      </c>
      <c r="D220" s="31"/>
      <c r="E220" s="31"/>
      <c r="F220" s="31"/>
      <c r="G220" s="31"/>
      <c r="H220" s="66">
        <v>0</v>
      </c>
      <c r="I220" s="104"/>
      <c r="J220" s="31"/>
      <c r="K220" s="31"/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283</v>
      </c>
      <c r="D221" s="31"/>
      <c r="E221" s="31"/>
      <c r="F221" s="31"/>
      <c r="G221" s="31"/>
      <c r="H221" s="66">
        <v>0</v>
      </c>
      <c r="I221" s="104"/>
      <c r="J221" s="31"/>
      <c r="K221" s="31"/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284</v>
      </c>
      <c r="D222" s="31">
        <v>12</v>
      </c>
      <c r="E222" s="31">
        <v>577</v>
      </c>
      <c r="F222" s="31"/>
      <c r="G222" s="31"/>
      <c r="H222" s="66">
        <v>0</v>
      </c>
      <c r="I222" s="104"/>
      <c r="J222" s="31">
        <v>12</v>
      </c>
      <c r="K222" s="31">
        <v>577</v>
      </c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285</v>
      </c>
      <c r="D223" s="31">
        <v>6</v>
      </c>
      <c r="E223" s="31">
        <v>100</v>
      </c>
      <c r="F223" s="31">
        <v>1</v>
      </c>
      <c r="G223" s="31">
        <v>15</v>
      </c>
      <c r="H223" s="66">
        <v>0</v>
      </c>
      <c r="I223" s="104"/>
      <c r="J223" s="31"/>
      <c r="K223" s="31"/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286</v>
      </c>
      <c r="D224" s="31">
        <v>2</v>
      </c>
      <c r="E224" s="31">
        <v>255</v>
      </c>
      <c r="F224" s="31">
        <v>1</v>
      </c>
      <c r="G224" s="31">
        <v>155</v>
      </c>
      <c r="H224" s="66">
        <v>0</v>
      </c>
      <c r="I224" s="104"/>
      <c r="J224" s="31"/>
      <c r="K224" s="31"/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287</v>
      </c>
      <c r="D225" s="31">
        <v>2</v>
      </c>
      <c r="E225" s="31">
        <v>27</v>
      </c>
      <c r="F225" s="31">
        <v>2</v>
      </c>
      <c r="G225" s="31">
        <v>27</v>
      </c>
      <c r="H225" s="66">
        <v>0</v>
      </c>
      <c r="I225" s="104"/>
      <c r="J225" s="31">
        <v>2</v>
      </c>
      <c r="K225" s="31">
        <v>27</v>
      </c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288</v>
      </c>
      <c r="D226" s="31">
        <v>1</v>
      </c>
      <c r="E226" s="31">
        <v>4.4000000000000004</v>
      </c>
      <c r="F226" s="31">
        <v>1</v>
      </c>
      <c r="G226" s="31">
        <v>4.4000000000000004</v>
      </c>
      <c r="H226" s="66">
        <v>0</v>
      </c>
      <c r="I226" s="104"/>
      <c r="J226" s="31">
        <v>1</v>
      </c>
      <c r="K226" s="31">
        <v>4.4000000000000004</v>
      </c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289</v>
      </c>
      <c r="D227" s="31">
        <v>5</v>
      </c>
      <c r="E227" s="31">
        <v>100</v>
      </c>
      <c r="F227" s="31">
        <v>5</v>
      </c>
      <c r="G227" s="31">
        <v>100</v>
      </c>
      <c r="H227" s="66">
        <v>0</v>
      </c>
      <c r="I227" s="104"/>
      <c r="J227" s="31">
        <v>4</v>
      </c>
      <c r="K227" s="31">
        <v>40</v>
      </c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290</v>
      </c>
      <c r="D228" s="31">
        <v>1</v>
      </c>
      <c r="E228" s="31">
        <v>4.4000000000000004</v>
      </c>
      <c r="F228" s="31">
        <v>1</v>
      </c>
      <c r="G228" s="31">
        <v>4.4000000000000004</v>
      </c>
      <c r="H228" s="66">
        <v>0</v>
      </c>
      <c r="I228" s="104"/>
      <c r="J228" s="31">
        <v>1</v>
      </c>
      <c r="K228" s="31">
        <v>4.4000000000000004</v>
      </c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291</v>
      </c>
      <c r="D229" s="31"/>
      <c r="E229" s="31"/>
      <c r="F229" s="31"/>
      <c r="G229" s="31"/>
      <c r="H229" s="66">
        <v>0</v>
      </c>
      <c r="I229" s="104"/>
      <c r="J229" s="31"/>
      <c r="K229" s="31"/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292</v>
      </c>
      <c r="D230" s="31"/>
      <c r="E230" s="31"/>
      <c r="F230" s="31"/>
      <c r="G230" s="31"/>
      <c r="H230" s="66">
        <v>0</v>
      </c>
      <c r="I230" s="104"/>
      <c r="J230" s="31"/>
      <c r="K230" s="31"/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293</v>
      </c>
      <c r="D231" s="31"/>
      <c r="E231" s="31"/>
      <c r="F231" s="31"/>
      <c r="G231" s="31"/>
      <c r="H231" s="66">
        <v>0</v>
      </c>
      <c r="I231" s="104"/>
      <c r="J231" s="31"/>
      <c r="K231" s="31"/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294</v>
      </c>
      <c r="D232" s="31">
        <v>4</v>
      </c>
      <c r="E232" s="31">
        <v>78</v>
      </c>
      <c r="F232" s="31">
        <v>3</v>
      </c>
      <c r="G232" s="31">
        <f>10+13+15</f>
        <v>38</v>
      </c>
      <c r="H232" s="66">
        <v>0</v>
      </c>
      <c r="I232" s="104"/>
      <c r="J232" s="31">
        <v>4</v>
      </c>
      <c r="K232" s="31">
        <v>78</v>
      </c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295</v>
      </c>
      <c r="D233" s="31">
        <v>2</v>
      </c>
      <c r="E233" s="31">
        <f>10+10</f>
        <v>20</v>
      </c>
      <c r="F233" s="31"/>
      <c r="G233" s="31"/>
      <c r="H233" s="66">
        <v>0</v>
      </c>
      <c r="I233" s="104"/>
      <c r="J233" s="31">
        <v>2</v>
      </c>
      <c r="K233" s="31">
        <f>10+10</f>
        <v>20</v>
      </c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296</v>
      </c>
      <c r="D234" s="31">
        <v>1</v>
      </c>
      <c r="E234" s="31">
        <v>40</v>
      </c>
      <c r="F234" s="31">
        <v>1</v>
      </c>
      <c r="G234" s="31">
        <v>40</v>
      </c>
      <c r="H234" s="66">
        <v>0</v>
      </c>
      <c r="I234" s="104"/>
      <c r="J234" s="31">
        <v>1</v>
      </c>
      <c r="K234" s="31">
        <v>40</v>
      </c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297</v>
      </c>
      <c r="D235" s="31">
        <v>1</v>
      </c>
      <c r="E235" s="31">
        <v>10</v>
      </c>
      <c r="F235" s="31">
        <v>1</v>
      </c>
      <c r="G235" s="31">
        <v>10</v>
      </c>
      <c r="H235" s="66">
        <v>0</v>
      </c>
      <c r="I235" s="104"/>
      <c r="J235" s="31">
        <v>1</v>
      </c>
      <c r="K235" s="31">
        <v>10</v>
      </c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298</v>
      </c>
      <c r="D236" s="31"/>
      <c r="E236" s="31"/>
      <c r="F236" s="31"/>
      <c r="G236" s="31"/>
      <c r="H236" s="66">
        <v>0</v>
      </c>
      <c r="I236" s="104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299</v>
      </c>
      <c r="D237" s="31"/>
      <c r="E237" s="31"/>
      <c r="F237" s="31"/>
      <c r="G237" s="31"/>
      <c r="H237" s="66">
        <v>0</v>
      </c>
      <c r="I237" s="104"/>
      <c r="J237" s="31"/>
      <c r="K237" s="31"/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300</v>
      </c>
      <c r="D238" s="31">
        <v>1</v>
      </c>
      <c r="E238" s="31">
        <v>43</v>
      </c>
      <c r="F238" s="31">
        <v>1</v>
      </c>
      <c r="G238" s="31">
        <v>43</v>
      </c>
      <c r="H238" s="66">
        <v>0</v>
      </c>
      <c r="I238" s="104"/>
      <c r="J238" s="31">
        <v>1</v>
      </c>
      <c r="K238" s="31">
        <v>43</v>
      </c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301</v>
      </c>
      <c r="D239" s="31"/>
      <c r="E239" s="31"/>
      <c r="F239" s="31"/>
      <c r="G239" s="31"/>
      <c r="H239" s="66">
        <v>0</v>
      </c>
      <c r="I239" s="104"/>
      <c r="J239" s="31"/>
      <c r="K239" s="31"/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302</v>
      </c>
      <c r="D240" s="31"/>
      <c r="E240" s="31"/>
      <c r="F240" s="31"/>
      <c r="G240" s="31"/>
      <c r="H240" s="66">
        <v>0</v>
      </c>
      <c r="I240" s="104"/>
      <c r="J240" s="31"/>
      <c r="K240" s="31"/>
      <c r="L240" s="8"/>
      <c r="M240" s="8"/>
      <c r="N240" s="8"/>
      <c r="O240" s="8"/>
      <c r="P240" s="8"/>
      <c r="Q240" s="8"/>
    </row>
    <row r="241" spans="1:17" ht="12.75" customHeight="1" x14ac:dyDescent="0.25">
      <c r="A241" s="18"/>
      <c r="B241" s="53"/>
      <c r="C241" s="50" t="s">
        <v>303</v>
      </c>
      <c r="D241" s="31"/>
      <c r="E241" s="31"/>
      <c r="F241" s="31"/>
      <c r="G241" s="31"/>
      <c r="H241" s="66">
        <v>0</v>
      </c>
      <c r="I241" s="104"/>
      <c r="J241" s="31"/>
      <c r="K241" s="31"/>
      <c r="L241" s="8"/>
      <c r="M241" s="8"/>
      <c r="N241" s="8"/>
      <c r="O241" s="8"/>
      <c r="P241" s="8"/>
      <c r="Q241" s="8"/>
    </row>
    <row r="242" spans="1:17" ht="12.75" customHeight="1" x14ac:dyDescent="0.25">
      <c r="A242" s="18"/>
      <c r="B242" s="53"/>
      <c r="C242" s="50" t="s">
        <v>359</v>
      </c>
      <c r="D242" s="31"/>
      <c r="E242" s="31"/>
      <c r="F242" s="31"/>
      <c r="G242" s="31"/>
      <c r="H242" s="66">
        <v>0</v>
      </c>
      <c r="I242" s="104"/>
      <c r="J242" s="31"/>
      <c r="K242" s="31"/>
      <c r="L242" s="8"/>
      <c r="M242" s="8"/>
      <c r="N242" s="8"/>
      <c r="O242" s="8"/>
      <c r="P242" s="8"/>
      <c r="Q242" s="8"/>
    </row>
    <row r="243" spans="1:17" ht="12.75" customHeight="1" x14ac:dyDescent="0.25">
      <c r="A243" s="18"/>
      <c r="B243" s="53"/>
      <c r="C243" s="50" t="s">
        <v>304</v>
      </c>
      <c r="D243" s="31"/>
      <c r="E243" s="31"/>
      <c r="F243" s="31"/>
      <c r="G243" s="31"/>
      <c r="H243" s="66">
        <v>0</v>
      </c>
      <c r="I243" s="104"/>
      <c r="J243" s="31"/>
      <c r="K243" s="31"/>
      <c r="L243" s="8"/>
      <c r="M243" s="8"/>
      <c r="N243" s="8"/>
      <c r="O243" s="8"/>
      <c r="P243" s="8"/>
      <c r="Q243" s="8"/>
    </row>
    <row r="244" spans="1:17" ht="12.75" customHeight="1" x14ac:dyDescent="0.2">
      <c r="A244" s="18"/>
      <c r="B244" s="18"/>
      <c r="C244" s="19" t="s">
        <v>30</v>
      </c>
      <c r="D244" s="31">
        <f>SUM(D204:D243)</f>
        <v>112</v>
      </c>
      <c r="E244" s="31">
        <f>SUM(E204:E243)</f>
        <v>5854.2499999999991</v>
      </c>
      <c r="F244" s="31">
        <f t="shared" ref="F244:Q244" si="6">SUM(F204:F243)</f>
        <v>42</v>
      </c>
      <c r="G244" s="31">
        <f t="shared" si="6"/>
        <v>1802.6000000000004</v>
      </c>
      <c r="H244" s="31">
        <f t="shared" si="6"/>
        <v>0</v>
      </c>
      <c r="I244" s="31">
        <f t="shared" si="6"/>
        <v>0</v>
      </c>
      <c r="J244" s="31">
        <f t="shared" si="6"/>
        <v>73</v>
      </c>
      <c r="K244" s="31">
        <f t="shared" si="6"/>
        <v>2918.25</v>
      </c>
      <c r="L244" s="31">
        <f t="shared" si="6"/>
        <v>0</v>
      </c>
      <c r="M244" s="31">
        <f t="shared" si="6"/>
        <v>0</v>
      </c>
      <c r="N244" s="31">
        <f t="shared" si="6"/>
        <v>0</v>
      </c>
      <c r="O244" s="31">
        <f t="shared" si="6"/>
        <v>0</v>
      </c>
      <c r="P244" s="31">
        <f t="shared" si="6"/>
        <v>0</v>
      </c>
      <c r="Q244" s="31">
        <f t="shared" si="6"/>
        <v>0</v>
      </c>
    </row>
    <row r="245" spans="1:17" ht="25.5" customHeight="1" x14ac:dyDescent="0.2">
      <c r="A245" s="14"/>
      <c r="B245" s="15"/>
      <c r="C245" s="23" t="s">
        <v>119</v>
      </c>
      <c r="D245" s="36">
        <f t="shared" ref="D245:Q245" si="7">SUM(D244+D202+D195+D185+D153+D102+D64)</f>
        <v>699</v>
      </c>
      <c r="E245" s="36">
        <f t="shared" si="7"/>
        <v>67803.889999999985</v>
      </c>
      <c r="F245" s="36">
        <f t="shared" si="7"/>
        <v>427</v>
      </c>
      <c r="G245" s="36">
        <f t="shared" si="7"/>
        <v>31246.9</v>
      </c>
      <c r="H245" s="36">
        <f t="shared" si="7"/>
        <v>0</v>
      </c>
      <c r="I245" s="36">
        <f t="shared" si="7"/>
        <v>0</v>
      </c>
      <c r="J245" s="36">
        <f t="shared" si="7"/>
        <v>337</v>
      </c>
      <c r="K245" s="36">
        <f t="shared" si="7"/>
        <v>17188</v>
      </c>
      <c r="L245" s="36">
        <f t="shared" si="7"/>
        <v>0</v>
      </c>
      <c r="M245" s="36">
        <f t="shared" si="7"/>
        <v>0</v>
      </c>
      <c r="N245" s="36">
        <f t="shared" si="7"/>
        <v>0</v>
      </c>
      <c r="O245" s="36">
        <f t="shared" si="7"/>
        <v>0</v>
      </c>
      <c r="P245" s="36">
        <f t="shared" si="7"/>
        <v>0</v>
      </c>
      <c r="Q245" s="36">
        <f t="shared" si="7"/>
        <v>0</v>
      </c>
    </row>
    <row r="246" spans="1:17" x14ac:dyDescent="0.2">
      <c r="A246" s="10" t="s">
        <v>10</v>
      </c>
      <c r="B246" s="86" t="s">
        <v>11</v>
      </c>
      <c r="D246" s="37">
        <f>SUM(D245:D245)</f>
        <v>699</v>
      </c>
      <c r="E246" s="38">
        <f>SUM(E245:E245)</f>
        <v>67803.889999999985</v>
      </c>
      <c r="F246" s="38">
        <f t="shared" ref="F246:Q246" si="8">SUM(F245:F245)</f>
        <v>427</v>
      </c>
      <c r="G246" s="38">
        <f t="shared" si="8"/>
        <v>31246.9</v>
      </c>
      <c r="H246" s="38">
        <f t="shared" si="8"/>
        <v>0</v>
      </c>
      <c r="I246" s="38">
        <f t="shared" si="8"/>
        <v>0</v>
      </c>
      <c r="J246" s="38">
        <f t="shared" si="8"/>
        <v>337</v>
      </c>
      <c r="K246" s="38">
        <f t="shared" si="8"/>
        <v>17188</v>
      </c>
      <c r="L246" s="38">
        <f t="shared" si="8"/>
        <v>0</v>
      </c>
      <c r="M246" s="38">
        <f t="shared" si="8"/>
        <v>0</v>
      </c>
      <c r="N246" s="38">
        <f t="shared" si="8"/>
        <v>0</v>
      </c>
      <c r="O246" s="38">
        <f t="shared" si="8"/>
        <v>0</v>
      </c>
      <c r="P246" s="38">
        <f t="shared" si="8"/>
        <v>0</v>
      </c>
      <c r="Q246" s="38">
        <f t="shared" si="8"/>
        <v>0</v>
      </c>
    </row>
    <row r="248" spans="1:17" x14ac:dyDescent="0.2">
      <c r="G248" s="63"/>
      <c r="J248" s="30">
        <v>337</v>
      </c>
      <c r="K248" s="30">
        <v>17188</v>
      </c>
    </row>
    <row r="249" spans="1:17" x14ac:dyDescent="0.2">
      <c r="B249" t="s">
        <v>138</v>
      </c>
      <c r="J249" s="63">
        <f>J248-J246</f>
        <v>0</v>
      </c>
      <c r="K249" s="63">
        <f>K248-K246</f>
        <v>0</v>
      </c>
    </row>
    <row r="251" spans="1:17" x14ac:dyDescent="0.2">
      <c r="D251" s="107">
        <f>D252-D246</f>
        <v>0</v>
      </c>
      <c r="E251" s="108">
        <f>E252-E246</f>
        <v>-67803.889999999985</v>
      </c>
      <c r="F251" s="75"/>
      <c r="G251" s="75"/>
      <c r="H251" s="76"/>
      <c r="I251" s="77"/>
      <c r="J251" s="75"/>
      <c r="K251" s="78"/>
    </row>
    <row r="252" spans="1:17" x14ac:dyDescent="0.2">
      <c r="D252" s="82">
        <v>699</v>
      </c>
      <c r="E252" s="82"/>
      <c r="F252" s="82"/>
      <c r="G252" s="82"/>
      <c r="H252" s="82"/>
      <c r="I252" s="82"/>
      <c r="J252" s="82"/>
      <c r="K252" s="82"/>
    </row>
    <row r="253" spans="1:17" x14ac:dyDescent="0.2">
      <c r="D253" s="79"/>
      <c r="E253" s="79"/>
      <c r="F253" s="79"/>
      <c r="G253" s="79"/>
      <c r="H253" s="80"/>
      <c r="I253" s="81"/>
      <c r="J253"/>
      <c r="K253" s="40"/>
    </row>
    <row r="254" spans="1:17" x14ac:dyDescent="0.2">
      <c r="D254" s="82"/>
      <c r="E254" s="83"/>
      <c r="F254" s="79"/>
      <c r="G254" s="79"/>
      <c r="H254" s="84"/>
      <c r="I254" s="85"/>
      <c r="J254"/>
      <c r="K254" s="25"/>
    </row>
    <row r="255" spans="1:17" x14ac:dyDescent="0.2">
      <c r="D255" s="82"/>
      <c r="E255" s="82"/>
      <c r="F255" s="82"/>
      <c r="G255" s="82"/>
      <c r="H255" s="84"/>
      <c r="I255" s="85"/>
      <c r="J255"/>
      <c r="K255" s="42"/>
    </row>
    <row r="256" spans="1:17" x14ac:dyDescent="0.2">
      <c r="D256" s="79"/>
      <c r="E256" s="79"/>
      <c r="F256" s="79"/>
      <c r="G256" s="79"/>
      <c r="H256" s="84"/>
      <c r="I256" s="85"/>
      <c r="J256"/>
      <c r="K256" s="27"/>
    </row>
    <row r="257" spans="4:11" x14ac:dyDescent="0.2">
      <c r="D257" s="79"/>
      <c r="E257" s="79"/>
      <c r="F257" s="79"/>
      <c r="G257" s="79"/>
      <c r="H257" s="84"/>
      <c r="I257" s="85"/>
      <c r="J257"/>
      <c r="K257" s="27"/>
    </row>
    <row r="258" spans="4:11" x14ac:dyDescent="0.2">
      <c r="D258" s="79"/>
      <c r="E258" s="79"/>
      <c r="F258" s="79"/>
      <c r="G258" s="79"/>
      <c r="H258" s="84"/>
      <c r="I258" s="85"/>
      <c r="J258"/>
      <c r="K258" s="27"/>
    </row>
    <row r="259" spans="4:11" x14ac:dyDescent="0.2">
      <c r="H259" s="43"/>
      <c r="I259" s="87"/>
      <c r="J259"/>
      <c r="K259" s="44"/>
    </row>
    <row r="260" spans="4:11" x14ac:dyDescent="0.2">
      <c r="H260" s="26"/>
      <c r="I260" s="45"/>
      <c r="J260" s="45"/>
      <c r="K260" s="27"/>
    </row>
    <row r="261" spans="4:11" x14ac:dyDescent="0.2">
      <c r="H261" s="26"/>
      <c r="I261" s="45"/>
      <c r="J261" s="45"/>
      <c r="K261" s="27"/>
    </row>
    <row r="262" spans="4:11" x14ac:dyDescent="0.2">
      <c r="H262" s="26"/>
      <c r="I262" s="45"/>
      <c r="J262" s="45"/>
      <c r="K262" s="27"/>
    </row>
    <row r="263" spans="4:11" x14ac:dyDescent="0.2">
      <c r="H263" s="26"/>
      <c r="I263" s="104"/>
      <c r="J263"/>
      <c r="K263" s="27"/>
    </row>
    <row r="264" spans="4:11" x14ac:dyDescent="0.2">
      <c r="H264" s="26"/>
      <c r="I264" s="104"/>
      <c r="J264"/>
      <c r="K264" s="27"/>
    </row>
  </sheetData>
  <customSheetViews>
    <customSheetView guid="{AE693E57-7143-42C6-BE39-5ABDB0359885}" scale="85" hiddenRows="1" topLeftCell="C1">
      <pane ySplit="19" topLeftCell="A244" activePane="bottomLeft" state="frozen"/>
      <selection pane="bottomLeft" activeCell="K118" sqref="K118"/>
      <pageMargins left="0.75" right="0.75" top="1" bottom="1" header="0.5" footer="0.5"/>
      <pageSetup paperSize="9" scale="90" orientation="landscape" r:id="rId1"/>
      <headerFooter alignWithMargins="0"/>
    </customSheetView>
    <customSheetView guid="{A743F9C7-8B89-4E8F-B91F-1FFB859064F2}" scale="85" hiddenRows="1" topLeftCell="C1">
      <pane ySplit="19" topLeftCell="A244" activePane="bottomLeft" state="frozen"/>
      <selection pane="bottomLeft" activeCell="K118" sqref="K118"/>
      <pageMargins left="0.75" right="0.75" top="1" bottom="1" header="0.5" footer="0.5"/>
      <pageSetup paperSize="9" scale="90" orientation="landscape" r:id="rId2"/>
      <headerFooter alignWithMargins="0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3"/>
  <sheetViews>
    <sheetView zoomScaleNormal="100" workbookViewId="0">
      <pane ySplit="16" topLeftCell="A222" activePane="bottomLeft" state="frozen"/>
      <selection pane="bottomLeft" activeCell="D201" sqref="D201:K240"/>
    </sheetView>
  </sheetViews>
  <sheetFormatPr defaultRowHeight="12.75" x14ac:dyDescent="0.2"/>
  <cols>
    <col min="1" max="1" width="22.140625" customWidth="1"/>
    <col min="2" max="2" width="35.28515625" customWidth="1"/>
    <col min="3" max="3" width="26.140625" customWidth="1"/>
    <col min="4" max="4" width="13.28515625" style="30" customWidth="1"/>
    <col min="5" max="5" width="11.5703125" style="30" customWidth="1"/>
    <col min="6" max="6" width="11.140625" style="30" customWidth="1"/>
    <col min="7" max="7" width="11.7109375" style="30" customWidth="1"/>
    <col min="8" max="8" width="12" style="30" customWidth="1"/>
    <col min="9" max="9" width="11.140625" style="30" customWidth="1"/>
    <col min="10" max="10" width="16.140625" style="30" customWidth="1"/>
    <col min="11" max="11" width="12.85546875" style="30" customWidth="1"/>
    <col min="12" max="12" width="10.85546875" customWidth="1"/>
    <col min="13" max="14" width="11.5703125" customWidth="1"/>
    <col min="15" max="15" width="12" customWidth="1"/>
    <col min="16" max="16" width="13" customWidth="1"/>
    <col min="17" max="17" width="12.7109375" customWidth="1"/>
  </cols>
  <sheetData>
    <row r="1" spans="1:17" ht="16.5" customHeight="1" x14ac:dyDescent="0.25">
      <c r="I1" s="88"/>
      <c r="J1" s="88"/>
      <c r="K1" s="88"/>
      <c r="L1" s="88"/>
      <c r="M1" s="17"/>
      <c r="N1" s="17"/>
    </row>
    <row r="2" spans="1:17" ht="15.75" hidden="1" x14ac:dyDescent="0.25">
      <c r="B2" t="s">
        <v>0</v>
      </c>
      <c r="I2" s="88"/>
      <c r="J2" s="88"/>
      <c r="K2" s="88"/>
      <c r="L2" s="88"/>
      <c r="M2" s="17" t="s">
        <v>12</v>
      </c>
      <c r="N2" s="17"/>
      <c r="O2" s="17"/>
    </row>
    <row r="3" spans="1:17" ht="15.75" hidden="1" x14ac:dyDescent="0.25">
      <c r="I3" s="88"/>
      <c r="J3" s="88"/>
      <c r="K3" s="88"/>
      <c r="L3" s="88"/>
      <c r="M3" s="17" t="s">
        <v>13</v>
      </c>
      <c r="N3" s="17"/>
      <c r="O3" s="17"/>
    </row>
    <row r="4" spans="1:17" ht="15.75" hidden="1" x14ac:dyDescent="0.25">
      <c r="I4" s="32"/>
      <c r="J4" s="32"/>
      <c r="K4" s="32"/>
      <c r="L4" s="88"/>
      <c r="M4" s="17" t="s">
        <v>14</v>
      </c>
      <c r="N4" s="17"/>
      <c r="O4" s="17"/>
    </row>
    <row r="5" spans="1:17" ht="15.75" hidden="1" x14ac:dyDescent="0.25">
      <c r="I5" s="88"/>
      <c r="J5" s="88"/>
      <c r="K5" s="88"/>
      <c r="L5" s="88"/>
      <c r="M5" s="17" t="s">
        <v>15</v>
      </c>
      <c r="N5" s="17"/>
      <c r="O5" s="17"/>
    </row>
    <row r="6" spans="1:17" ht="15.75" hidden="1" x14ac:dyDescent="0.25">
      <c r="I6" s="88"/>
      <c r="J6" s="88"/>
      <c r="K6" s="88"/>
      <c r="L6" s="88"/>
      <c r="O6" s="17"/>
    </row>
    <row r="7" spans="1:17" ht="15.75" hidden="1" x14ac:dyDescent="0.25">
      <c r="I7" s="88"/>
      <c r="J7" s="88"/>
      <c r="K7" s="88"/>
      <c r="L7" s="88"/>
    </row>
    <row r="8" spans="1:17" ht="15.75" hidden="1" x14ac:dyDescent="0.25">
      <c r="I8" s="32"/>
      <c r="J8" s="32"/>
      <c r="K8" s="32"/>
    </row>
    <row r="9" spans="1:17" ht="12.75" hidden="1" customHeight="1" x14ac:dyDescent="0.2"/>
    <row r="10" spans="1:17" ht="12.75" hidden="1" customHeight="1" x14ac:dyDescent="0.25"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</row>
    <row r="11" spans="1:17" ht="15.75" hidden="1" x14ac:dyDescent="0.25">
      <c r="B11" s="92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</row>
    <row r="12" spans="1:17" ht="15.75" hidden="1" x14ac:dyDescent="0.25">
      <c r="B12" s="92"/>
      <c r="C12" s="92"/>
      <c r="D12" s="33"/>
      <c r="E12" s="33"/>
      <c r="F12" s="33"/>
      <c r="G12" s="33"/>
      <c r="H12" s="33"/>
      <c r="I12" s="33"/>
      <c r="J12" s="33"/>
      <c r="K12" s="34"/>
      <c r="L12" s="13"/>
      <c r="M12" s="13"/>
    </row>
    <row r="13" spans="1:17" ht="13.5" thickBot="1" x14ac:dyDescent="0.25">
      <c r="B13" s="93"/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</row>
    <row r="14" spans="1:17" ht="16.5" thickBot="1" x14ac:dyDescent="0.3">
      <c r="B14" s="106" t="s">
        <v>364</v>
      </c>
      <c r="C14" s="90"/>
      <c r="D14" s="90"/>
      <c r="E14" s="90"/>
      <c r="F14" s="90"/>
      <c r="G14" s="90"/>
      <c r="H14" s="90"/>
      <c r="I14" s="90"/>
      <c r="J14" s="90"/>
      <c r="K14" s="90"/>
      <c r="L14" s="90"/>
      <c r="M14" s="91"/>
    </row>
    <row r="15" spans="1:17" ht="13.5" thickBot="1" x14ac:dyDescent="0.25"/>
    <row r="16" spans="1:17" ht="127.5" customHeight="1" thickTop="1" thickBot="1" x14ac:dyDescent="0.25">
      <c r="A16" s="2" t="s">
        <v>1</v>
      </c>
      <c r="B16" s="2" t="s">
        <v>2</v>
      </c>
      <c r="C16" s="3" t="s">
        <v>3</v>
      </c>
      <c r="D16" s="124" t="s">
        <v>17</v>
      </c>
      <c r="E16" s="125"/>
      <c r="F16" s="118" t="s">
        <v>4</v>
      </c>
      <c r="G16" s="118"/>
      <c r="H16" s="119" t="s">
        <v>5</v>
      </c>
      <c r="I16" s="120"/>
      <c r="J16" s="119" t="s">
        <v>6</v>
      </c>
      <c r="K16" s="120"/>
      <c r="L16" s="116" t="s">
        <v>18</v>
      </c>
      <c r="M16" s="117"/>
      <c r="N16" s="116" t="s">
        <v>19</v>
      </c>
      <c r="O16" s="117"/>
      <c r="P16" s="116" t="s">
        <v>20</v>
      </c>
      <c r="Q16" s="117"/>
    </row>
    <row r="17" spans="1:17" ht="13.5" thickTop="1" x14ac:dyDescent="0.2">
      <c r="A17" s="4">
        <v>1</v>
      </c>
      <c r="B17" s="5">
        <v>2</v>
      </c>
      <c r="C17" s="6">
        <v>3</v>
      </c>
      <c r="D17" s="122">
        <v>4</v>
      </c>
      <c r="E17" s="123"/>
      <c r="F17" s="96">
        <v>5</v>
      </c>
      <c r="G17" s="99"/>
      <c r="H17" s="97">
        <v>6</v>
      </c>
      <c r="I17" s="99"/>
      <c r="J17" s="97">
        <v>7</v>
      </c>
      <c r="K17" s="99"/>
      <c r="L17" s="98">
        <v>8</v>
      </c>
      <c r="M17" s="99"/>
      <c r="N17" s="98">
        <v>9</v>
      </c>
      <c r="O17" s="99"/>
      <c r="P17" s="98">
        <v>10</v>
      </c>
      <c r="Q17" s="99"/>
    </row>
    <row r="18" spans="1:17" ht="12.75" customHeight="1" x14ac:dyDescent="0.2">
      <c r="A18" s="7"/>
      <c r="B18" s="7"/>
      <c r="C18" s="7"/>
      <c r="D18" s="104" t="s">
        <v>7</v>
      </c>
      <c r="E18" s="104" t="s">
        <v>8</v>
      </c>
      <c r="F18" s="104" t="s">
        <v>7</v>
      </c>
      <c r="G18" s="104" t="s">
        <v>8</v>
      </c>
      <c r="H18" s="104" t="s">
        <v>7</v>
      </c>
      <c r="I18" s="104" t="s">
        <v>8</v>
      </c>
      <c r="J18" s="104" t="s">
        <v>7</v>
      </c>
      <c r="K18" s="104" t="s">
        <v>8</v>
      </c>
      <c r="L18" s="8" t="s">
        <v>7</v>
      </c>
      <c r="M18" s="8" t="s">
        <v>9</v>
      </c>
      <c r="N18" s="8" t="s">
        <v>7</v>
      </c>
      <c r="O18" s="8" t="s">
        <v>9</v>
      </c>
      <c r="P18" s="8" t="s">
        <v>7</v>
      </c>
      <c r="Q18" s="8" t="s">
        <v>9</v>
      </c>
    </row>
    <row r="19" spans="1:17" ht="28.5" customHeight="1" x14ac:dyDescent="0.25">
      <c r="A19" s="28" t="s">
        <v>136</v>
      </c>
      <c r="B19" s="28" t="s">
        <v>360</v>
      </c>
      <c r="C19" s="105" t="s">
        <v>146</v>
      </c>
      <c r="D19" s="103"/>
      <c r="E19" s="104"/>
      <c r="F19" s="104"/>
      <c r="G19" s="104"/>
      <c r="H19" s="104"/>
      <c r="I19" s="104"/>
      <c r="J19" s="104"/>
      <c r="K19" s="104"/>
      <c r="L19" s="8"/>
      <c r="M19" s="8"/>
      <c r="N19" s="8"/>
      <c r="O19" s="8"/>
      <c r="P19" s="8"/>
      <c r="Q19" s="8"/>
    </row>
    <row r="20" spans="1:17" ht="12" customHeight="1" x14ac:dyDescent="0.25">
      <c r="A20" s="18"/>
      <c r="B20" s="18"/>
      <c r="C20" s="18" t="s">
        <v>306</v>
      </c>
      <c r="D20" s="31">
        <v>0</v>
      </c>
      <c r="E20" s="31">
        <v>0</v>
      </c>
      <c r="F20" s="31">
        <v>0</v>
      </c>
      <c r="G20" s="31">
        <v>0</v>
      </c>
      <c r="H20" s="67">
        <v>0</v>
      </c>
      <c r="I20" s="24"/>
      <c r="J20" s="31"/>
      <c r="K20" s="31"/>
      <c r="L20" s="8"/>
      <c r="M20" s="8"/>
      <c r="N20" s="8"/>
      <c r="O20" s="8"/>
      <c r="P20" s="8"/>
      <c r="Q20" s="8"/>
    </row>
    <row r="21" spans="1:17" ht="12" customHeight="1" x14ac:dyDescent="0.25">
      <c r="A21" s="18"/>
      <c r="B21" s="18"/>
      <c r="C21" s="18" t="s">
        <v>307</v>
      </c>
      <c r="D21" s="31">
        <v>31</v>
      </c>
      <c r="E21" s="31">
        <v>260</v>
      </c>
      <c r="F21" s="31">
        <v>0</v>
      </c>
      <c r="G21" s="31">
        <v>0</v>
      </c>
      <c r="H21" s="67">
        <v>0</v>
      </c>
      <c r="I21" s="24"/>
      <c r="J21" s="31">
        <v>28</v>
      </c>
      <c r="K21" s="31">
        <v>200</v>
      </c>
      <c r="L21" s="8"/>
      <c r="M21" s="8"/>
      <c r="N21" s="8"/>
      <c r="O21" s="8"/>
      <c r="P21" s="8"/>
      <c r="Q21" s="8"/>
    </row>
    <row r="22" spans="1:17" ht="11.25" customHeight="1" x14ac:dyDescent="0.25">
      <c r="A22" s="18"/>
      <c r="B22" s="18"/>
      <c r="C22" s="18" t="s">
        <v>308</v>
      </c>
      <c r="D22" s="31">
        <v>32</v>
      </c>
      <c r="E22" s="31">
        <v>250</v>
      </c>
      <c r="F22" s="31">
        <v>0</v>
      </c>
      <c r="G22" s="31">
        <v>0</v>
      </c>
      <c r="H22" s="67">
        <v>0</v>
      </c>
      <c r="I22" s="24"/>
      <c r="J22" s="31">
        <v>20</v>
      </c>
      <c r="K22" s="31">
        <v>160</v>
      </c>
      <c r="L22" s="8"/>
      <c r="M22" s="8"/>
      <c r="N22" s="8"/>
      <c r="O22" s="8"/>
      <c r="P22" s="8"/>
      <c r="Q22" s="8"/>
    </row>
    <row r="23" spans="1:17" ht="11.25" customHeight="1" x14ac:dyDescent="0.25">
      <c r="A23" s="18"/>
      <c r="B23" s="18"/>
      <c r="C23" s="18" t="s">
        <v>309</v>
      </c>
      <c r="D23" s="31">
        <v>25</v>
      </c>
      <c r="E23" s="31">
        <v>240</v>
      </c>
      <c r="F23" s="31">
        <v>0</v>
      </c>
      <c r="G23" s="31">
        <v>0</v>
      </c>
      <c r="H23" s="67">
        <v>0</v>
      </c>
      <c r="I23" s="24"/>
      <c r="J23" s="31">
        <v>20</v>
      </c>
      <c r="K23" s="31">
        <v>180</v>
      </c>
      <c r="L23" s="8"/>
      <c r="M23" s="8"/>
      <c r="N23" s="8"/>
      <c r="O23" s="8"/>
      <c r="P23" s="8"/>
      <c r="Q23" s="8"/>
    </row>
    <row r="24" spans="1:17" ht="12.75" customHeight="1" x14ac:dyDescent="0.25">
      <c r="A24" s="18"/>
      <c r="B24" s="18"/>
      <c r="C24" s="18" t="s">
        <v>310</v>
      </c>
      <c r="D24" s="31">
        <v>5</v>
      </c>
      <c r="E24" s="31">
        <v>20</v>
      </c>
      <c r="F24" s="31">
        <v>0</v>
      </c>
      <c r="G24" s="31">
        <v>0</v>
      </c>
      <c r="H24" s="67">
        <v>0</v>
      </c>
      <c r="I24" s="24"/>
      <c r="J24" s="31">
        <v>5</v>
      </c>
      <c r="K24" s="31">
        <v>20</v>
      </c>
      <c r="L24" s="8"/>
      <c r="M24" s="8"/>
      <c r="N24" s="8"/>
      <c r="O24" s="8"/>
      <c r="P24" s="8"/>
      <c r="Q24" s="8"/>
    </row>
    <row r="25" spans="1:17" ht="11.25" customHeight="1" x14ac:dyDescent="0.25">
      <c r="A25" s="18"/>
      <c r="B25" s="18"/>
      <c r="C25" s="18" t="s">
        <v>311</v>
      </c>
      <c r="D25" s="31">
        <v>5</v>
      </c>
      <c r="E25" s="31">
        <v>24</v>
      </c>
      <c r="F25" s="31">
        <v>5</v>
      </c>
      <c r="G25" s="31">
        <v>24</v>
      </c>
      <c r="H25" s="67">
        <v>0</v>
      </c>
      <c r="I25" s="24"/>
      <c r="J25" s="31">
        <v>5</v>
      </c>
      <c r="K25" s="31">
        <v>24</v>
      </c>
      <c r="L25" s="8"/>
      <c r="M25" s="8"/>
      <c r="N25" s="8"/>
      <c r="O25" s="8"/>
      <c r="P25" s="8"/>
      <c r="Q25" s="8"/>
    </row>
    <row r="26" spans="1:17" ht="16.5" customHeight="1" x14ac:dyDescent="0.25">
      <c r="A26" s="18"/>
      <c r="B26" s="18"/>
      <c r="C26" s="18" t="s">
        <v>312</v>
      </c>
      <c r="D26" s="104">
        <v>5</v>
      </c>
      <c r="E26" s="104">
        <v>20</v>
      </c>
      <c r="F26" s="104">
        <v>5</v>
      </c>
      <c r="G26" s="104">
        <v>20</v>
      </c>
      <c r="H26" s="67">
        <v>0</v>
      </c>
      <c r="I26" s="104"/>
      <c r="J26" s="109">
        <v>5</v>
      </c>
      <c r="K26" s="109">
        <v>20</v>
      </c>
      <c r="L26" s="8"/>
      <c r="M26" s="8"/>
      <c r="N26" s="8"/>
      <c r="O26" s="8"/>
      <c r="P26" s="8"/>
      <c r="Q26" s="8"/>
    </row>
    <row r="27" spans="1:17" ht="12" customHeight="1" x14ac:dyDescent="0.25">
      <c r="A27" s="18"/>
      <c r="B27" s="18"/>
      <c r="C27" s="18" t="s">
        <v>313</v>
      </c>
      <c r="D27" s="31">
        <v>36</v>
      </c>
      <c r="E27" s="31">
        <v>285</v>
      </c>
      <c r="F27" s="31">
        <v>36</v>
      </c>
      <c r="G27" s="31">
        <v>285</v>
      </c>
      <c r="H27" s="67">
        <v>0</v>
      </c>
      <c r="I27" s="24"/>
      <c r="J27" s="31">
        <v>41</v>
      </c>
      <c r="K27" s="31">
        <v>285</v>
      </c>
      <c r="L27" s="8"/>
      <c r="M27" s="8"/>
      <c r="N27" s="8"/>
      <c r="O27" s="8"/>
      <c r="P27" s="8"/>
      <c r="Q27" s="8"/>
    </row>
    <row r="28" spans="1:17" ht="12.75" customHeight="1" x14ac:dyDescent="0.25">
      <c r="A28" s="18"/>
      <c r="B28" s="18"/>
      <c r="C28" s="18" t="s">
        <v>314</v>
      </c>
      <c r="D28" s="31">
        <v>55</v>
      </c>
      <c r="E28" s="31">
        <v>450</v>
      </c>
      <c r="F28" s="31">
        <v>55</v>
      </c>
      <c r="G28" s="31">
        <v>450</v>
      </c>
      <c r="H28" s="67">
        <v>0</v>
      </c>
      <c r="I28" s="24"/>
      <c r="J28" s="31">
        <v>37</v>
      </c>
      <c r="K28" s="31">
        <v>267</v>
      </c>
      <c r="L28" s="8"/>
      <c r="M28" s="8"/>
      <c r="N28" s="8"/>
      <c r="O28" s="8"/>
      <c r="P28" s="8"/>
      <c r="Q28" s="8"/>
    </row>
    <row r="29" spans="1:17" ht="12.75" customHeight="1" x14ac:dyDescent="0.25">
      <c r="A29" s="18"/>
      <c r="B29" s="18"/>
      <c r="C29" s="18" t="s">
        <v>315</v>
      </c>
      <c r="D29" s="31">
        <v>63</v>
      </c>
      <c r="E29" s="31">
        <f>429+160</f>
        <v>589</v>
      </c>
      <c r="F29" s="31">
        <v>45</v>
      </c>
      <c r="G29" s="31">
        <v>429</v>
      </c>
      <c r="H29" s="67">
        <v>0</v>
      </c>
      <c r="I29" s="24"/>
      <c r="J29" s="31">
        <v>39</v>
      </c>
      <c r="K29" s="31">
        <v>280</v>
      </c>
      <c r="L29" s="8"/>
      <c r="M29" s="8"/>
      <c r="N29" s="8"/>
      <c r="O29" s="8"/>
      <c r="P29" s="8"/>
      <c r="Q29" s="8"/>
    </row>
    <row r="30" spans="1:17" ht="12.75" customHeight="1" x14ac:dyDescent="0.25">
      <c r="A30" s="18"/>
      <c r="B30" s="18"/>
      <c r="C30" s="18" t="s">
        <v>316</v>
      </c>
      <c r="D30" s="31">
        <v>25</v>
      </c>
      <c r="E30" s="31">
        <v>200</v>
      </c>
      <c r="F30" s="31">
        <v>25</v>
      </c>
      <c r="G30" s="31">
        <v>200</v>
      </c>
      <c r="H30" s="67">
        <v>0</v>
      </c>
      <c r="I30" s="24"/>
      <c r="J30" s="31">
        <v>25</v>
      </c>
      <c r="K30" s="31">
        <v>200</v>
      </c>
      <c r="L30" s="8"/>
      <c r="M30" s="8"/>
      <c r="N30" s="8"/>
      <c r="O30" s="8"/>
      <c r="P30" s="8"/>
      <c r="Q30" s="8"/>
    </row>
    <row r="31" spans="1:17" ht="12.75" customHeight="1" x14ac:dyDescent="0.25">
      <c r="A31" s="18"/>
      <c r="B31" s="18"/>
      <c r="C31" s="18" t="s">
        <v>317</v>
      </c>
      <c r="D31" s="31">
        <v>49</v>
      </c>
      <c r="E31" s="31">
        <f>100+360</f>
        <v>460</v>
      </c>
      <c r="F31" s="31">
        <v>27</v>
      </c>
      <c r="G31" s="31">
        <v>310</v>
      </c>
      <c r="H31" s="67">
        <v>0</v>
      </c>
      <c r="I31" s="24"/>
      <c r="J31" s="31">
        <v>35</v>
      </c>
      <c r="K31" s="31">
        <v>210</v>
      </c>
      <c r="L31" s="8"/>
      <c r="M31" s="8"/>
      <c r="N31" s="8"/>
      <c r="O31" s="8"/>
      <c r="P31" s="8"/>
      <c r="Q31" s="8"/>
    </row>
    <row r="32" spans="1:17" ht="12.75" customHeight="1" x14ac:dyDescent="0.25">
      <c r="A32" s="18"/>
      <c r="B32" s="18"/>
      <c r="C32" s="18" t="s">
        <v>318</v>
      </c>
      <c r="D32" s="31">
        <v>55</v>
      </c>
      <c r="E32" s="31">
        <v>520</v>
      </c>
      <c r="F32" s="31">
        <v>21</v>
      </c>
      <c r="G32" s="31">
        <v>232</v>
      </c>
      <c r="H32" s="67">
        <v>0</v>
      </c>
      <c r="I32" s="24"/>
      <c r="J32" s="31">
        <v>49</v>
      </c>
      <c r="K32" s="31">
        <v>465</v>
      </c>
      <c r="L32" s="8"/>
      <c r="M32" s="8"/>
      <c r="N32" s="8"/>
      <c r="O32" s="8"/>
      <c r="P32" s="8"/>
      <c r="Q32" s="8"/>
    </row>
    <row r="33" spans="1:17" ht="12.75" customHeight="1" x14ac:dyDescent="0.25">
      <c r="A33" s="18"/>
      <c r="B33" s="18"/>
      <c r="C33" s="18" t="s">
        <v>319</v>
      </c>
      <c r="D33" s="104">
        <v>70</v>
      </c>
      <c r="E33" s="104">
        <f>540+147</f>
        <v>687</v>
      </c>
      <c r="F33" s="104">
        <v>70</v>
      </c>
      <c r="G33" s="104">
        <v>687</v>
      </c>
      <c r="H33" s="67">
        <v>0</v>
      </c>
      <c r="I33" s="104"/>
      <c r="J33" s="104">
        <v>69</v>
      </c>
      <c r="K33" s="104">
        <v>390</v>
      </c>
      <c r="L33" s="8"/>
      <c r="M33" s="8"/>
      <c r="N33" s="8"/>
      <c r="O33" s="8"/>
      <c r="P33" s="8"/>
      <c r="Q33" s="8"/>
    </row>
    <row r="34" spans="1:17" ht="12.75" customHeight="1" x14ac:dyDescent="0.25">
      <c r="A34" s="18"/>
      <c r="B34" s="18"/>
      <c r="C34" s="18" t="s">
        <v>320</v>
      </c>
      <c r="D34" s="31">
        <v>27</v>
      </c>
      <c r="E34" s="31">
        <v>200</v>
      </c>
      <c r="F34" s="31">
        <v>27</v>
      </c>
      <c r="G34" s="31">
        <v>200</v>
      </c>
      <c r="H34" s="67">
        <v>0</v>
      </c>
      <c r="I34" s="24"/>
      <c r="J34" s="31">
        <v>22</v>
      </c>
      <c r="K34" s="31">
        <v>150</v>
      </c>
      <c r="L34" s="8"/>
      <c r="M34" s="8"/>
      <c r="N34" s="8"/>
      <c r="O34" s="8"/>
      <c r="P34" s="8"/>
      <c r="Q34" s="8"/>
    </row>
    <row r="35" spans="1:17" ht="12.75" customHeight="1" x14ac:dyDescent="0.25">
      <c r="A35" s="18"/>
      <c r="B35" s="18"/>
      <c r="C35" s="18" t="s">
        <v>321</v>
      </c>
      <c r="D35" s="31">
        <v>48</v>
      </c>
      <c r="E35" s="31">
        <v>380</v>
      </c>
      <c r="F35" s="31">
        <v>25</v>
      </c>
      <c r="G35" s="31">
        <v>220</v>
      </c>
      <c r="H35" s="67">
        <v>0</v>
      </c>
      <c r="I35" s="24"/>
      <c r="J35" s="31">
        <v>36</v>
      </c>
      <c r="K35" s="31">
        <v>320</v>
      </c>
      <c r="L35" s="8"/>
      <c r="M35" s="8"/>
      <c r="N35" s="8"/>
      <c r="O35" s="8"/>
      <c r="P35" s="8"/>
      <c r="Q35" s="8"/>
    </row>
    <row r="36" spans="1:17" ht="12.75" customHeight="1" x14ac:dyDescent="0.25">
      <c r="A36" s="18"/>
      <c r="B36" s="18"/>
      <c r="C36" s="18" t="s">
        <v>322</v>
      </c>
      <c r="D36" s="31">
        <v>103</v>
      </c>
      <c r="E36" s="31">
        <f>680+3+7.5</f>
        <v>690.5</v>
      </c>
      <c r="F36" s="31">
        <v>79</v>
      </c>
      <c r="G36" s="31">
        <v>450</v>
      </c>
      <c r="H36" s="67">
        <v>0</v>
      </c>
      <c r="I36" s="24"/>
      <c r="J36" s="31">
        <v>81</v>
      </c>
      <c r="K36" s="31">
        <v>490</v>
      </c>
      <c r="L36" s="8"/>
      <c r="M36" s="8"/>
      <c r="N36" s="8"/>
      <c r="O36" s="8"/>
      <c r="P36" s="8"/>
      <c r="Q36" s="8"/>
    </row>
    <row r="37" spans="1:17" ht="12.75" customHeight="1" x14ac:dyDescent="0.25">
      <c r="A37" s="18"/>
      <c r="B37" s="18"/>
      <c r="C37" s="18" t="s">
        <v>323</v>
      </c>
      <c r="D37" s="31">
        <v>79</v>
      </c>
      <c r="E37" s="31">
        <v>460</v>
      </c>
      <c r="F37" s="31">
        <v>49</v>
      </c>
      <c r="G37" s="31">
        <v>210</v>
      </c>
      <c r="H37" s="67">
        <v>0</v>
      </c>
      <c r="I37" s="24"/>
      <c r="J37" s="31">
        <v>79</v>
      </c>
      <c r="K37" s="31">
        <v>460</v>
      </c>
      <c r="L37" s="8"/>
      <c r="M37" s="8"/>
      <c r="N37" s="8"/>
      <c r="O37" s="8"/>
      <c r="P37" s="8"/>
      <c r="Q37" s="8"/>
    </row>
    <row r="38" spans="1:17" ht="12.75" customHeight="1" x14ac:dyDescent="0.25">
      <c r="A38" s="18"/>
      <c r="B38" s="18"/>
      <c r="C38" s="18" t="s">
        <v>324</v>
      </c>
      <c r="D38" s="31">
        <v>34</v>
      </c>
      <c r="E38" s="31">
        <f>7+12+15+13+13+12+7+5+35+15+2.2+8+10+14+5+9+15+14+15+14+15</f>
        <v>255.2</v>
      </c>
      <c r="F38" s="31">
        <v>25</v>
      </c>
      <c r="G38" s="31">
        <v>180</v>
      </c>
      <c r="H38" s="67">
        <v>0</v>
      </c>
      <c r="I38" s="24"/>
      <c r="J38" s="31">
        <v>30</v>
      </c>
      <c r="K38" s="31">
        <v>200</v>
      </c>
      <c r="L38" s="8"/>
      <c r="M38" s="8"/>
      <c r="N38" s="8"/>
      <c r="O38" s="8"/>
      <c r="P38" s="8"/>
      <c r="Q38" s="8"/>
    </row>
    <row r="39" spans="1:17" ht="12.75" customHeight="1" x14ac:dyDescent="0.25">
      <c r="A39" s="18"/>
      <c r="B39" s="18"/>
      <c r="C39" s="18" t="s">
        <v>325</v>
      </c>
      <c r="D39" s="72">
        <v>45</v>
      </c>
      <c r="E39" s="72">
        <v>320</v>
      </c>
      <c r="F39" s="31">
        <v>35</v>
      </c>
      <c r="G39" s="31">
        <v>240</v>
      </c>
      <c r="H39" s="67">
        <v>0</v>
      </c>
      <c r="I39" s="24"/>
      <c r="J39" s="31">
        <v>15</v>
      </c>
      <c r="K39" s="31">
        <v>100</v>
      </c>
      <c r="L39" s="8"/>
      <c r="M39" s="8"/>
      <c r="N39" s="8"/>
      <c r="O39" s="8"/>
      <c r="P39" s="8"/>
      <c r="Q39" s="8"/>
    </row>
    <row r="40" spans="1:17" ht="12.75" customHeight="1" x14ac:dyDescent="0.25">
      <c r="A40" s="18"/>
      <c r="B40" s="18"/>
      <c r="C40" s="18" t="s">
        <v>326</v>
      </c>
      <c r="D40" s="31">
        <v>31</v>
      </c>
      <c r="E40" s="31">
        <f>10+10+5+11+10+120+19+20</f>
        <v>205</v>
      </c>
      <c r="F40" s="31">
        <v>20</v>
      </c>
      <c r="G40" s="31">
        <v>100</v>
      </c>
      <c r="H40" s="67">
        <v>0</v>
      </c>
      <c r="I40" s="24"/>
      <c r="J40" s="31">
        <v>22</v>
      </c>
      <c r="K40" s="31">
        <v>100</v>
      </c>
      <c r="L40" s="8"/>
      <c r="M40" s="8"/>
      <c r="N40" s="8"/>
      <c r="O40" s="8"/>
      <c r="P40" s="8"/>
      <c r="Q40" s="8"/>
    </row>
    <row r="41" spans="1:17" ht="12.75" customHeight="1" x14ac:dyDescent="0.25">
      <c r="A41" s="18"/>
      <c r="B41" s="18"/>
      <c r="C41" s="18" t="s">
        <v>327</v>
      </c>
      <c r="D41" s="31">
        <v>9</v>
      </c>
      <c r="E41" s="31">
        <v>85</v>
      </c>
      <c r="F41" s="31"/>
      <c r="G41" s="31"/>
      <c r="H41" s="67">
        <v>0</v>
      </c>
      <c r="I41" s="24"/>
      <c r="J41" s="31">
        <v>9</v>
      </c>
      <c r="K41" s="31">
        <v>85</v>
      </c>
      <c r="L41" s="8"/>
      <c r="M41" s="8"/>
      <c r="N41" s="8"/>
      <c r="O41" s="8"/>
      <c r="P41" s="8"/>
      <c r="Q41" s="8"/>
    </row>
    <row r="42" spans="1:17" ht="12.75" customHeight="1" x14ac:dyDescent="0.25">
      <c r="A42" s="18"/>
      <c r="B42" s="18"/>
      <c r="C42" s="18" t="s">
        <v>328</v>
      </c>
      <c r="D42" s="31">
        <v>5</v>
      </c>
      <c r="E42" s="31">
        <f>12+6+12+15+12</f>
        <v>57</v>
      </c>
      <c r="F42" s="31">
        <v>5</v>
      </c>
      <c r="G42" s="31">
        <v>57</v>
      </c>
      <c r="H42" s="67">
        <v>0</v>
      </c>
      <c r="I42" s="24"/>
      <c r="J42" s="31">
        <v>3</v>
      </c>
      <c r="K42" s="31">
        <v>40</v>
      </c>
      <c r="L42" s="8"/>
      <c r="M42" s="8"/>
      <c r="N42" s="8"/>
      <c r="O42" s="8"/>
      <c r="P42" s="8"/>
      <c r="Q42" s="8"/>
    </row>
    <row r="43" spans="1:17" ht="12.75" customHeight="1" x14ac:dyDescent="0.25">
      <c r="A43" s="18"/>
      <c r="B43" s="18"/>
      <c r="C43" s="18" t="s">
        <v>329</v>
      </c>
      <c r="D43" s="31">
        <v>6</v>
      </c>
      <c r="E43" s="31">
        <v>42</v>
      </c>
      <c r="F43" s="31">
        <v>6</v>
      </c>
      <c r="G43" s="31">
        <v>42</v>
      </c>
      <c r="H43" s="67">
        <v>0</v>
      </c>
      <c r="I43" s="24"/>
      <c r="J43" s="31">
        <v>9</v>
      </c>
      <c r="K43" s="31">
        <v>50</v>
      </c>
      <c r="L43" s="8"/>
      <c r="M43" s="8"/>
      <c r="N43" s="8"/>
      <c r="O43" s="8"/>
      <c r="P43" s="8"/>
      <c r="Q43" s="8"/>
    </row>
    <row r="44" spans="1:17" ht="12.75" customHeight="1" x14ac:dyDescent="0.25">
      <c r="A44" s="18"/>
      <c r="B44" s="18"/>
      <c r="C44" s="18" t="s">
        <v>330</v>
      </c>
      <c r="D44" s="31"/>
      <c r="E44" s="31"/>
      <c r="F44" s="31"/>
      <c r="G44" s="31"/>
      <c r="H44" s="67">
        <v>0</v>
      </c>
      <c r="I44" s="24"/>
      <c r="J44" s="31"/>
      <c r="K44" s="31"/>
      <c r="L44" s="8"/>
      <c r="M44" s="8"/>
      <c r="N44" s="8"/>
      <c r="O44" s="8"/>
      <c r="P44" s="8"/>
      <c r="Q44" s="8"/>
    </row>
    <row r="45" spans="1:17" ht="12.75" customHeight="1" x14ac:dyDescent="0.25">
      <c r="A45" s="18"/>
      <c r="B45" s="18"/>
      <c r="C45" s="18" t="s">
        <v>331</v>
      </c>
      <c r="D45" s="31">
        <v>32</v>
      </c>
      <c r="E45" s="31">
        <v>337</v>
      </c>
      <c r="F45" s="31">
        <v>32</v>
      </c>
      <c r="G45" s="31">
        <v>337</v>
      </c>
      <c r="H45" s="67">
        <v>0</v>
      </c>
      <c r="I45" s="24"/>
      <c r="J45" s="31">
        <v>26</v>
      </c>
      <c r="K45" s="31">
        <v>221</v>
      </c>
      <c r="L45" s="8"/>
      <c r="M45" s="8"/>
      <c r="N45" s="8"/>
      <c r="O45" s="8"/>
      <c r="P45" s="8"/>
      <c r="Q45" s="8"/>
    </row>
    <row r="46" spans="1:17" ht="12.75" customHeight="1" x14ac:dyDescent="0.25">
      <c r="A46" s="18"/>
      <c r="B46" s="18"/>
      <c r="C46" s="18" t="s">
        <v>332</v>
      </c>
      <c r="D46" s="104">
        <v>1</v>
      </c>
      <c r="E46" s="104">
        <v>1.1000000000000001</v>
      </c>
      <c r="F46" s="104">
        <v>1</v>
      </c>
      <c r="G46" s="104">
        <v>1.1000000000000001</v>
      </c>
      <c r="H46" s="67">
        <v>0</v>
      </c>
      <c r="I46" s="104"/>
      <c r="J46" s="109">
        <v>1</v>
      </c>
      <c r="K46" s="109">
        <v>1.1000000000000001</v>
      </c>
      <c r="L46" s="8"/>
      <c r="M46" s="8"/>
      <c r="N46" s="8"/>
      <c r="O46" s="8"/>
      <c r="P46" s="8"/>
      <c r="Q46" s="8"/>
    </row>
    <row r="47" spans="1:17" ht="12.75" customHeight="1" x14ac:dyDescent="0.25">
      <c r="A47" s="18"/>
      <c r="B47" s="18"/>
      <c r="C47" s="18" t="s">
        <v>333</v>
      </c>
      <c r="D47" s="31">
        <v>15</v>
      </c>
      <c r="E47" s="31">
        <v>110</v>
      </c>
      <c r="F47" s="31"/>
      <c r="G47" s="31"/>
      <c r="H47" s="67">
        <v>0</v>
      </c>
      <c r="I47" s="24"/>
      <c r="J47" s="31">
        <v>15</v>
      </c>
      <c r="K47" s="31">
        <v>110</v>
      </c>
      <c r="L47" s="8"/>
      <c r="M47" s="8"/>
      <c r="N47" s="8"/>
      <c r="O47" s="8"/>
      <c r="P47" s="8"/>
      <c r="Q47" s="8"/>
    </row>
    <row r="48" spans="1:17" ht="12.75" customHeight="1" x14ac:dyDescent="0.25">
      <c r="A48" s="18"/>
      <c r="B48" s="18"/>
      <c r="C48" s="18" t="s">
        <v>334</v>
      </c>
      <c r="D48" s="31">
        <v>5</v>
      </c>
      <c r="E48" s="31">
        <v>45</v>
      </c>
      <c r="F48" s="31">
        <v>5</v>
      </c>
      <c r="G48" s="31">
        <v>45</v>
      </c>
      <c r="H48" s="67">
        <v>0</v>
      </c>
      <c r="I48" s="24"/>
      <c r="J48" s="31">
        <v>5</v>
      </c>
      <c r="K48" s="31">
        <v>45</v>
      </c>
      <c r="L48" s="8"/>
      <c r="M48" s="8"/>
      <c r="N48" s="8"/>
      <c r="O48" s="8"/>
      <c r="P48" s="8"/>
      <c r="Q48" s="8"/>
    </row>
    <row r="49" spans="1:17" ht="12.75" customHeight="1" x14ac:dyDescent="0.25">
      <c r="A49" s="18"/>
      <c r="B49" s="18"/>
      <c r="C49" s="18" t="s">
        <v>335</v>
      </c>
      <c r="D49" s="31">
        <v>5</v>
      </c>
      <c r="E49" s="31">
        <v>30</v>
      </c>
      <c r="F49" s="31"/>
      <c r="G49" s="31"/>
      <c r="H49" s="67">
        <v>0</v>
      </c>
      <c r="I49" s="24"/>
      <c r="J49" s="31">
        <v>5</v>
      </c>
      <c r="K49" s="31">
        <v>30</v>
      </c>
      <c r="L49" s="8"/>
      <c r="M49" s="8"/>
      <c r="N49" s="8"/>
      <c r="O49" s="8"/>
      <c r="P49" s="8"/>
      <c r="Q49" s="8"/>
    </row>
    <row r="50" spans="1:17" ht="12.75" customHeight="1" x14ac:dyDescent="0.25">
      <c r="A50" s="18"/>
      <c r="B50" s="18"/>
      <c r="C50" s="18" t="s">
        <v>336</v>
      </c>
      <c r="D50" s="31"/>
      <c r="E50" s="31"/>
      <c r="F50" s="31"/>
      <c r="G50" s="31"/>
      <c r="H50" s="67">
        <v>0</v>
      </c>
      <c r="I50" s="24"/>
      <c r="J50" s="31"/>
      <c r="K50" s="31"/>
      <c r="L50" s="8"/>
      <c r="M50" s="8"/>
      <c r="N50" s="8"/>
      <c r="O50" s="8"/>
      <c r="P50" s="8"/>
      <c r="Q50" s="8"/>
    </row>
    <row r="51" spans="1:17" ht="12.75" customHeight="1" x14ac:dyDescent="0.25">
      <c r="A51" s="18"/>
      <c r="B51" s="18"/>
      <c r="C51" s="18" t="s">
        <v>337</v>
      </c>
      <c r="D51" s="31">
        <v>2</v>
      </c>
      <c r="E51" s="31">
        <f>13+5</f>
        <v>18</v>
      </c>
      <c r="F51" s="31">
        <v>2</v>
      </c>
      <c r="G51" s="31">
        <v>18</v>
      </c>
      <c r="H51" s="67">
        <v>0</v>
      </c>
      <c r="I51" s="24"/>
      <c r="J51" s="31">
        <v>2</v>
      </c>
      <c r="K51" s="31">
        <f>13+5</f>
        <v>18</v>
      </c>
      <c r="L51" s="8"/>
      <c r="M51" s="8"/>
      <c r="N51" s="8"/>
      <c r="O51" s="8"/>
      <c r="P51" s="8"/>
      <c r="Q51" s="8"/>
    </row>
    <row r="52" spans="1:17" ht="12.75" customHeight="1" x14ac:dyDescent="0.25">
      <c r="A52" s="18"/>
      <c r="B52" s="18"/>
      <c r="C52" s="18" t="s">
        <v>338</v>
      </c>
      <c r="D52" s="31">
        <v>2</v>
      </c>
      <c r="E52" s="31">
        <f>4+20</f>
        <v>24</v>
      </c>
      <c r="F52" s="31">
        <v>2</v>
      </c>
      <c r="G52" s="31">
        <v>24</v>
      </c>
      <c r="H52" s="67">
        <v>0</v>
      </c>
      <c r="I52" s="24"/>
      <c r="J52" s="31">
        <v>2</v>
      </c>
      <c r="K52" s="31">
        <f>4+20</f>
        <v>24</v>
      </c>
      <c r="L52" s="8"/>
      <c r="M52" s="8"/>
      <c r="N52" s="8"/>
      <c r="O52" s="8"/>
      <c r="P52" s="8"/>
      <c r="Q52" s="8"/>
    </row>
    <row r="53" spans="1:17" ht="12.75" customHeight="1" x14ac:dyDescent="0.25">
      <c r="A53" s="18"/>
      <c r="B53" s="18"/>
      <c r="C53" s="18" t="s">
        <v>339</v>
      </c>
      <c r="D53" s="31">
        <v>4</v>
      </c>
      <c r="E53" s="31">
        <v>28</v>
      </c>
      <c r="F53" s="31">
        <v>2</v>
      </c>
      <c r="G53" s="31">
        <v>9</v>
      </c>
      <c r="H53" s="67">
        <v>0</v>
      </c>
      <c r="I53" s="24"/>
      <c r="J53" s="31">
        <v>4</v>
      </c>
      <c r="K53" s="31">
        <v>28</v>
      </c>
      <c r="L53" s="8"/>
      <c r="M53" s="8"/>
      <c r="N53" s="8"/>
      <c r="O53" s="8"/>
      <c r="P53" s="8"/>
      <c r="Q53" s="8"/>
    </row>
    <row r="54" spans="1:17" ht="12.75" customHeight="1" x14ac:dyDescent="0.25">
      <c r="A54" s="18"/>
      <c r="B54" s="18"/>
      <c r="C54" s="18" t="s">
        <v>340</v>
      </c>
      <c r="D54" s="31">
        <v>2</v>
      </c>
      <c r="E54" s="31">
        <v>14</v>
      </c>
      <c r="F54" s="31">
        <v>1</v>
      </c>
      <c r="G54" s="31">
        <v>4</v>
      </c>
      <c r="H54" s="67">
        <v>0</v>
      </c>
      <c r="I54" s="24"/>
      <c r="J54" s="31">
        <v>2</v>
      </c>
      <c r="K54" s="31">
        <v>14</v>
      </c>
      <c r="L54" s="8"/>
      <c r="M54" s="8"/>
      <c r="N54" s="8"/>
      <c r="O54" s="8"/>
      <c r="P54" s="8"/>
      <c r="Q54" s="8"/>
    </row>
    <row r="55" spans="1:17" ht="12.75" customHeight="1" x14ac:dyDescent="0.25">
      <c r="A55" s="18"/>
      <c r="B55" s="18"/>
      <c r="C55" s="18" t="s">
        <v>341</v>
      </c>
      <c r="D55" s="31">
        <v>21</v>
      </c>
      <c r="E55" s="31">
        <v>185</v>
      </c>
      <c r="F55" s="31">
        <v>9</v>
      </c>
      <c r="G55" s="31">
        <v>63</v>
      </c>
      <c r="H55" s="67">
        <v>0</v>
      </c>
      <c r="I55" s="24"/>
      <c r="J55" s="31">
        <v>21</v>
      </c>
      <c r="K55" s="31">
        <v>185</v>
      </c>
      <c r="L55" s="8"/>
      <c r="M55" s="8"/>
      <c r="N55" s="8"/>
      <c r="O55" s="8"/>
      <c r="P55" s="8"/>
      <c r="Q55" s="8"/>
    </row>
    <row r="56" spans="1:17" ht="12.75" customHeight="1" x14ac:dyDescent="0.25">
      <c r="A56" s="18"/>
      <c r="B56" s="18"/>
      <c r="C56" s="18" t="s">
        <v>342</v>
      </c>
      <c r="D56" s="104">
        <v>12</v>
      </c>
      <c r="E56" s="104">
        <v>150</v>
      </c>
      <c r="F56" s="104">
        <v>2</v>
      </c>
      <c r="G56" s="104">
        <f>5+5</f>
        <v>10</v>
      </c>
      <c r="H56" s="67">
        <v>0</v>
      </c>
      <c r="I56" s="104"/>
      <c r="J56" s="109">
        <v>12</v>
      </c>
      <c r="K56" s="109">
        <v>150</v>
      </c>
      <c r="L56" s="8"/>
      <c r="M56" s="8"/>
      <c r="N56" s="8"/>
      <c r="O56" s="8"/>
      <c r="P56" s="8"/>
      <c r="Q56" s="8"/>
    </row>
    <row r="57" spans="1:17" ht="12.75" customHeight="1" x14ac:dyDescent="0.25">
      <c r="A57" s="18"/>
      <c r="B57" s="18"/>
      <c r="C57" s="18" t="s">
        <v>343</v>
      </c>
      <c r="D57" s="31">
        <v>15</v>
      </c>
      <c r="E57" s="31">
        <v>102</v>
      </c>
      <c r="F57" s="31">
        <v>3</v>
      </c>
      <c r="G57" s="31">
        <v>21</v>
      </c>
      <c r="H57" s="67">
        <v>0</v>
      </c>
      <c r="I57" s="24"/>
      <c r="J57" s="31">
        <v>15</v>
      </c>
      <c r="K57" s="31">
        <v>102</v>
      </c>
      <c r="L57" s="8"/>
      <c r="M57" s="8"/>
      <c r="N57" s="8"/>
      <c r="O57" s="8"/>
      <c r="P57" s="8"/>
      <c r="Q57" s="8"/>
    </row>
    <row r="58" spans="1:17" ht="12.75" customHeight="1" x14ac:dyDescent="0.25">
      <c r="A58" s="18"/>
      <c r="B58" s="18"/>
      <c r="C58" s="18" t="s">
        <v>344</v>
      </c>
      <c r="D58" s="31"/>
      <c r="E58" s="31"/>
      <c r="F58" s="31"/>
      <c r="G58" s="31"/>
      <c r="H58" s="67">
        <v>0</v>
      </c>
      <c r="I58" s="24"/>
      <c r="J58" s="31"/>
      <c r="K58" s="31"/>
      <c r="L58" s="8"/>
      <c r="M58" s="8"/>
      <c r="N58" s="8"/>
      <c r="O58" s="8"/>
      <c r="P58" s="8"/>
      <c r="Q58" s="8"/>
    </row>
    <row r="59" spans="1:17" ht="12.75" customHeight="1" x14ac:dyDescent="0.25">
      <c r="A59" s="18"/>
      <c r="B59" s="18"/>
      <c r="C59" s="18" t="s">
        <v>345</v>
      </c>
      <c r="D59" s="31"/>
      <c r="E59" s="31"/>
      <c r="F59" s="31"/>
      <c r="G59" s="31"/>
      <c r="H59" s="67">
        <v>0</v>
      </c>
      <c r="I59" s="24"/>
      <c r="J59" s="31"/>
      <c r="K59" s="31"/>
      <c r="L59" s="8"/>
      <c r="M59" s="8"/>
      <c r="N59" s="8"/>
      <c r="O59" s="8"/>
      <c r="P59" s="8"/>
      <c r="Q59" s="8"/>
    </row>
    <row r="60" spans="1:17" ht="12.75" customHeight="1" x14ac:dyDescent="0.25">
      <c r="A60" s="18"/>
      <c r="B60" s="18"/>
      <c r="C60" s="18" t="s">
        <v>362</v>
      </c>
      <c r="D60" s="31">
        <v>10</v>
      </c>
      <c r="E60" s="31">
        <v>96</v>
      </c>
      <c r="F60" s="31"/>
      <c r="G60" s="31"/>
      <c r="H60" s="67">
        <v>0</v>
      </c>
      <c r="I60" s="24"/>
      <c r="J60" s="31">
        <v>15</v>
      </c>
      <c r="K60" s="31">
        <v>105</v>
      </c>
      <c r="L60" s="8"/>
      <c r="M60" s="8"/>
      <c r="N60" s="8"/>
      <c r="O60" s="8"/>
      <c r="P60" s="8"/>
      <c r="Q60" s="8"/>
    </row>
    <row r="61" spans="1:17" ht="17.25" customHeight="1" x14ac:dyDescent="0.2">
      <c r="A61" s="18"/>
      <c r="B61" s="18"/>
      <c r="C61" s="19" t="s">
        <v>30</v>
      </c>
      <c r="D61" s="31">
        <f t="shared" ref="D61:Q61" si="0">SUM(D20:D60)</f>
        <v>969</v>
      </c>
      <c r="E61" s="31">
        <f t="shared" si="0"/>
        <v>7839.8</v>
      </c>
      <c r="F61" s="31">
        <f t="shared" si="0"/>
        <v>619</v>
      </c>
      <c r="G61" s="31">
        <f t="shared" si="0"/>
        <v>4868.1000000000004</v>
      </c>
      <c r="H61" s="31">
        <f t="shared" si="0"/>
        <v>0</v>
      </c>
      <c r="I61" s="31">
        <f t="shared" si="0"/>
        <v>0</v>
      </c>
      <c r="J61" s="31">
        <f t="shared" si="0"/>
        <v>809</v>
      </c>
      <c r="K61" s="31">
        <f t="shared" si="0"/>
        <v>5729.1</v>
      </c>
      <c r="L61" s="31">
        <f t="shared" si="0"/>
        <v>0</v>
      </c>
      <c r="M61" s="31">
        <f t="shared" si="0"/>
        <v>0</v>
      </c>
      <c r="N61" s="31">
        <f t="shared" si="0"/>
        <v>0</v>
      </c>
      <c r="O61" s="31">
        <f t="shared" si="0"/>
        <v>0</v>
      </c>
      <c r="P61" s="31">
        <f t="shared" si="0"/>
        <v>0</v>
      </c>
      <c r="Q61" s="31">
        <f t="shared" si="0"/>
        <v>0</v>
      </c>
    </row>
    <row r="62" spans="1:17" ht="15" x14ac:dyDescent="0.25">
      <c r="A62" s="18"/>
      <c r="B62" s="18"/>
      <c r="C62" s="105" t="s">
        <v>148</v>
      </c>
      <c r="D62" s="103"/>
      <c r="E62" s="31"/>
      <c r="F62" s="31"/>
      <c r="G62" s="31"/>
      <c r="H62" s="67">
        <v>0</v>
      </c>
      <c r="I62" s="24"/>
      <c r="J62" s="31"/>
      <c r="K62" s="31"/>
      <c r="L62" s="8"/>
      <c r="M62" s="8"/>
      <c r="N62" s="8"/>
      <c r="O62" s="8"/>
      <c r="P62" s="8"/>
      <c r="Q62" s="8"/>
    </row>
    <row r="63" spans="1:17" ht="12.75" customHeight="1" x14ac:dyDescent="0.25">
      <c r="A63" s="18"/>
      <c r="B63" s="53"/>
      <c r="C63" s="18" t="s">
        <v>350</v>
      </c>
      <c r="D63" s="31">
        <v>95</v>
      </c>
      <c r="E63" s="31">
        <f>100+10+7+12+8+15+15+4+12+8+8+7+12+7+15+6+6+8+7+5+15+10+3+15+10+10+5+5+15+5+20+14+15+15+10+15+10+15+3+6+6+8+6+3+10+8+15+25+6+5+15+10+25+15+15+15+25+10+10+7+10+8+10+3+7+7+10+5+3+105+94</f>
        <v>989</v>
      </c>
      <c r="F63" s="31">
        <v>77</v>
      </c>
      <c r="G63" s="31">
        <v>795</v>
      </c>
      <c r="H63" s="67">
        <v>0</v>
      </c>
      <c r="I63" s="24"/>
      <c r="J63" s="31">
        <v>35</v>
      </c>
      <c r="K63" s="31">
        <v>190</v>
      </c>
      <c r="L63" s="8"/>
      <c r="M63" s="8"/>
      <c r="N63" s="8"/>
      <c r="O63" s="8"/>
      <c r="P63" s="8"/>
      <c r="Q63" s="8"/>
    </row>
    <row r="64" spans="1:17" ht="15" x14ac:dyDescent="0.25">
      <c r="A64" s="18"/>
      <c r="B64" s="53"/>
      <c r="C64" s="18" t="s">
        <v>149</v>
      </c>
      <c r="D64" s="31">
        <v>41</v>
      </c>
      <c r="E64" s="31">
        <f>15+15+5+15+15+15+15+8+15+15+15+15+4.5+15+10+15+10+15+15+15+13+15+15+5+5+15+10+5+15+6+6+15+10+15+10+15+15+7+25</f>
        <v>484.5</v>
      </c>
      <c r="F64" s="31">
        <v>39</v>
      </c>
      <c r="G64" s="31">
        <f>15+15+5+15+15+15+15+8+15+15+15+15+4.5+15+10+15+10+15+15+15+13+15+15+5+5+15+10+5+15+6+6+15+10+15+10+15+15+7+25</f>
        <v>484.5</v>
      </c>
      <c r="H64" s="67">
        <v>0</v>
      </c>
      <c r="I64" s="24"/>
      <c r="J64" s="31">
        <v>27</v>
      </c>
      <c r="K64" s="31">
        <v>170</v>
      </c>
      <c r="L64" s="8"/>
      <c r="M64" s="8"/>
      <c r="N64" s="8"/>
      <c r="O64" s="8"/>
      <c r="P64" s="8"/>
      <c r="Q64" s="8"/>
    </row>
    <row r="65" spans="1:17" ht="12.75" customHeight="1" x14ac:dyDescent="0.25">
      <c r="A65" s="18"/>
      <c r="B65" s="53"/>
      <c r="C65" s="18" t="s">
        <v>150</v>
      </c>
      <c r="D65" s="31">
        <v>33</v>
      </c>
      <c r="E65" s="31">
        <v>310</v>
      </c>
      <c r="F65" s="31">
        <v>11</v>
      </c>
      <c r="G65" s="31">
        <f>5+50+5+30+5+4.5</f>
        <v>99.5</v>
      </c>
      <c r="H65" s="67">
        <v>0</v>
      </c>
      <c r="I65" s="24"/>
      <c r="J65" s="31">
        <v>4</v>
      </c>
      <c r="K65" s="31">
        <f>5+5</f>
        <v>10</v>
      </c>
      <c r="L65" s="8"/>
      <c r="M65" s="8"/>
      <c r="N65" s="8"/>
      <c r="O65" s="8"/>
      <c r="P65" s="8"/>
      <c r="Q65" s="8"/>
    </row>
    <row r="66" spans="1:17" ht="12.75" customHeight="1" x14ac:dyDescent="0.25">
      <c r="A66" s="18"/>
      <c r="B66" s="53"/>
      <c r="C66" s="18" t="s">
        <v>151</v>
      </c>
      <c r="D66" s="31"/>
      <c r="E66" s="31"/>
      <c r="F66" s="31"/>
      <c r="G66" s="31"/>
      <c r="H66" s="67">
        <v>0</v>
      </c>
      <c r="I66" s="24"/>
      <c r="J66" s="31"/>
      <c r="K66" s="31"/>
      <c r="L66" s="8"/>
      <c r="M66" s="8"/>
      <c r="N66" s="8"/>
      <c r="O66" s="8"/>
      <c r="P66" s="8"/>
      <c r="Q66" s="8"/>
    </row>
    <row r="67" spans="1:17" ht="12.75" customHeight="1" x14ac:dyDescent="0.25">
      <c r="A67" s="18"/>
      <c r="B67" s="53"/>
      <c r="C67" s="18" t="s">
        <v>152</v>
      </c>
      <c r="D67" s="31">
        <v>10</v>
      </c>
      <c r="E67" s="31">
        <v>116</v>
      </c>
      <c r="F67" s="31">
        <v>10</v>
      </c>
      <c r="G67" s="31">
        <v>116</v>
      </c>
      <c r="H67" s="67">
        <v>0</v>
      </c>
      <c r="I67" s="24"/>
      <c r="J67" s="31">
        <v>10</v>
      </c>
      <c r="K67" s="31">
        <v>116</v>
      </c>
      <c r="L67" s="8"/>
      <c r="M67" s="8"/>
      <c r="N67" s="8"/>
      <c r="O67" s="8"/>
      <c r="P67" s="8"/>
      <c r="Q67" s="8"/>
    </row>
    <row r="68" spans="1:17" ht="12.75" customHeight="1" x14ac:dyDescent="0.25">
      <c r="A68" s="18"/>
      <c r="B68" s="53"/>
      <c r="C68" s="18" t="s">
        <v>351</v>
      </c>
      <c r="D68" s="31">
        <v>1</v>
      </c>
      <c r="E68" s="31">
        <v>10</v>
      </c>
      <c r="F68" s="31">
        <v>1</v>
      </c>
      <c r="G68" s="31">
        <v>10</v>
      </c>
      <c r="H68" s="67">
        <v>0</v>
      </c>
      <c r="I68" s="24"/>
      <c r="J68" s="31">
        <v>1</v>
      </c>
      <c r="K68" s="31">
        <v>10</v>
      </c>
      <c r="L68" s="8"/>
      <c r="M68" s="8"/>
      <c r="N68" s="8"/>
      <c r="O68" s="8"/>
      <c r="P68" s="8"/>
      <c r="Q68" s="8"/>
    </row>
    <row r="69" spans="1:17" ht="12.75" customHeight="1" x14ac:dyDescent="0.25">
      <c r="A69" s="18"/>
      <c r="B69" s="53"/>
      <c r="C69" s="18" t="s">
        <v>153</v>
      </c>
      <c r="D69" s="31">
        <v>25</v>
      </c>
      <c r="E69" s="31">
        <v>220</v>
      </c>
      <c r="F69" s="31">
        <v>20</v>
      </c>
      <c r="G69" s="31">
        <v>150</v>
      </c>
      <c r="H69" s="67">
        <v>0</v>
      </c>
      <c r="I69" s="24"/>
      <c r="J69" s="31">
        <v>15</v>
      </c>
      <c r="K69" s="31">
        <v>120</v>
      </c>
      <c r="L69" s="8"/>
      <c r="M69" s="8"/>
      <c r="N69" s="8"/>
      <c r="O69" s="8"/>
      <c r="P69" s="8"/>
      <c r="Q69" s="8"/>
    </row>
    <row r="70" spans="1:17" ht="12.75" customHeight="1" x14ac:dyDescent="0.25">
      <c r="A70" s="18"/>
      <c r="B70" s="53"/>
      <c r="C70" s="18" t="s">
        <v>155</v>
      </c>
      <c r="D70" s="31">
        <v>3</v>
      </c>
      <c r="E70" s="31">
        <v>15</v>
      </c>
      <c r="F70" s="31">
        <v>3</v>
      </c>
      <c r="G70" s="31">
        <v>15</v>
      </c>
      <c r="H70" s="67">
        <v>0</v>
      </c>
      <c r="I70" s="24"/>
      <c r="J70" s="31">
        <v>3</v>
      </c>
      <c r="K70" s="31">
        <v>15</v>
      </c>
      <c r="L70" s="8"/>
      <c r="M70" s="8"/>
      <c r="N70" s="8"/>
      <c r="O70" s="8"/>
      <c r="P70" s="8"/>
      <c r="Q70" s="8"/>
    </row>
    <row r="71" spans="1:17" ht="12.75" customHeight="1" x14ac:dyDescent="0.25">
      <c r="A71" s="18"/>
      <c r="B71" s="53"/>
      <c r="C71" s="18" t="s">
        <v>154</v>
      </c>
      <c r="D71" s="31">
        <v>20</v>
      </c>
      <c r="E71" s="31">
        <v>122</v>
      </c>
      <c r="F71" s="31">
        <v>20</v>
      </c>
      <c r="G71" s="31">
        <v>122</v>
      </c>
      <c r="H71" s="67">
        <v>0</v>
      </c>
      <c r="I71" s="24"/>
      <c r="J71" s="31">
        <v>20</v>
      </c>
      <c r="K71" s="31">
        <v>122</v>
      </c>
      <c r="L71" s="8"/>
      <c r="M71" s="8"/>
      <c r="N71" s="8"/>
      <c r="O71" s="8"/>
      <c r="P71" s="8"/>
      <c r="Q71" s="8"/>
    </row>
    <row r="72" spans="1:17" ht="12.75" customHeight="1" x14ac:dyDescent="0.25">
      <c r="A72" s="18"/>
      <c r="B72" s="53"/>
      <c r="C72" s="18" t="s">
        <v>147</v>
      </c>
      <c r="D72" s="31">
        <v>1</v>
      </c>
      <c r="E72" s="31">
        <f>6</f>
        <v>6</v>
      </c>
      <c r="F72" s="31">
        <v>1</v>
      </c>
      <c r="G72" s="31">
        <f>6</f>
        <v>6</v>
      </c>
      <c r="H72" s="67">
        <v>0</v>
      </c>
      <c r="I72" s="24"/>
      <c r="J72" s="31">
        <v>1</v>
      </c>
      <c r="K72" s="31">
        <v>6</v>
      </c>
      <c r="L72" s="8"/>
      <c r="M72" s="8"/>
      <c r="N72" s="8"/>
      <c r="O72" s="8"/>
      <c r="P72" s="8"/>
      <c r="Q72" s="8"/>
    </row>
    <row r="73" spans="1:17" ht="12.75" customHeight="1" x14ac:dyDescent="0.25">
      <c r="A73" s="18"/>
      <c r="B73" s="53"/>
      <c r="C73" s="18" t="s">
        <v>156</v>
      </c>
      <c r="D73" s="31">
        <v>12</v>
      </c>
      <c r="E73" s="31">
        <v>92</v>
      </c>
      <c r="F73" s="31"/>
      <c r="G73" s="31"/>
      <c r="H73" s="67">
        <v>0</v>
      </c>
      <c r="I73" s="24"/>
      <c r="J73" s="31">
        <v>29</v>
      </c>
      <c r="K73" s="31">
        <v>198</v>
      </c>
      <c r="L73" s="8"/>
      <c r="M73" s="8"/>
      <c r="N73" s="8"/>
      <c r="O73" s="8"/>
      <c r="P73" s="8"/>
      <c r="Q73" s="8"/>
    </row>
    <row r="74" spans="1:17" ht="12.75" customHeight="1" x14ac:dyDescent="0.25">
      <c r="A74" s="18"/>
      <c r="B74" s="53"/>
      <c r="C74" s="18" t="s">
        <v>157</v>
      </c>
      <c r="D74" s="31">
        <v>12</v>
      </c>
      <c r="E74" s="31">
        <f>5+10+7+5+7+15+5+15+5+4+10+10</f>
        <v>98</v>
      </c>
      <c r="F74" s="31">
        <v>12</v>
      </c>
      <c r="G74" s="31">
        <v>98</v>
      </c>
      <c r="H74" s="67">
        <v>0</v>
      </c>
      <c r="I74" s="24"/>
      <c r="J74" s="31">
        <v>10</v>
      </c>
      <c r="K74" s="31">
        <v>60</v>
      </c>
      <c r="L74" s="8"/>
      <c r="M74" s="8"/>
      <c r="N74" s="8"/>
      <c r="O74" s="8"/>
      <c r="P74" s="8"/>
      <c r="Q74" s="8"/>
    </row>
    <row r="75" spans="1:17" ht="12.75" customHeight="1" x14ac:dyDescent="0.25">
      <c r="A75" s="18"/>
      <c r="B75" s="53"/>
      <c r="C75" s="18" t="s">
        <v>158</v>
      </c>
      <c r="D75" s="31">
        <v>4</v>
      </c>
      <c r="E75" s="31">
        <v>56</v>
      </c>
      <c r="F75" s="31">
        <v>2</v>
      </c>
      <c r="G75" s="31">
        <f>3.5+5</f>
        <v>8.5</v>
      </c>
      <c r="H75" s="67">
        <v>0</v>
      </c>
      <c r="I75" s="24"/>
      <c r="J75" s="31">
        <v>27</v>
      </c>
      <c r="K75" s="31">
        <v>197</v>
      </c>
      <c r="L75" s="8"/>
      <c r="M75" s="8"/>
      <c r="N75" s="8"/>
      <c r="O75" s="8"/>
      <c r="P75" s="8"/>
      <c r="Q75" s="8"/>
    </row>
    <row r="76" spans="1:17" ht="12.75" customHeight="1" x14ac:dyDescent="0.25">
      <c r="A76" s="18"/>
      <c r="B76" s="53"/>
      <c r="C76" s="18" t="s">
        <v>159</v>
      </c>
      <c r="D76" s="31">
        <v>4</v>
      </c>
      <c r="E76" s="31">
        <v>31</v>
      </c>
      <c r="F76" s="31"/>
      <c r="G76" s="31"/>
      <c r="H76" s="67">
        <v>0</v>
      </c>
      <c r="I76" s="24"/>
      <c r="J76" s="31">
        <v>4</v>
      </c>
      <c r="K76" s="31">
        <v>31</v>
      </c>
      <c r="L76" s="8"/>
      <c r="M76" s="8"/>
      <c r="N76" s="8"/>
      <c r="O76" s="8"/>
      <c r="P76" s="8"/>
      <c r="Q76" s="8"/>
    </row>
    <row r="77" spans="1:17" ht="12.75" customHeight="1" x14ac:dyDescent="0.25">
      <c r="A77" s="18"/>
      <c r="B77" s="53"/>
      <c r="C77" s="18" t="s">
        <v>160</v>
      </c>
      <c r="D77" s="31">
        <v>1</v>
      </c>
      <c r="E77" s="31">
        <v>7</v>
      </c>
      <c r="F77" s="31">
        <v>1</v>
      </c>
      <c r="G77" s="31">
        <v>7</v>
      </c>
      <c r="H77" s="67">
        <v>0</v>
      </c>
      <c r="I77" s="24"/>
      <c r="J77" s="31">
        <v>1</v>
      </c>
      <c r="K77" s="31">
        <v>7</v>
      </c>
      <c r="L77" s="8"/>
      <c r="M77" s="8"/>
      <c r="N77" s="8"/>
      <c r="O77" s="8"/>
      <c r="P77" s="8"/>
      <c r="Q77" s="8"/>
    </row>
    <row r="78" spans="1:17" ht="12.75" customHeight="1" x14ac:dyDescent="0.25">
      <c r="A78" s="18"/>
      <c r="B78" s="53"/>
      <c r="C78" s="18" t="s">
        <v>161</v>
      </c>
      <c r="D78" s="31">
        <v>7</v>
      </c>
      <c r="E78" s="31">
        <f>10+15+7+6+7+5+12</f>
        <v>62</v>
      </c>
      <c r="F78" s="31">
        <v>7</v>
      </c>
      <c r="G78" s="31">
        <v>62</v>
      </c>
      <c r="H78" s="67">
        <v>0</v>
      </c>
      <c r="I78" s="24"/>
      <c r="J78" s="31">
        <v>6</v>
      </c>
      <c r="K78" s="31">
        <v>48</v>
      </c>
      <c r="L78" s="8"/>
      <c r="M78" s="8"/>
      <c r="N78" s="8"/>
      <c r="O78" s="8"/>
      <c r="P78" s="8"/>
      <c r="Q78" s="8"/>
    </row>
    <row r="79" spans="1:17" ht="12.75" customHeight="1" x14ac:dyDescent="0.25">
      <c r="A79" s="18"/>
      <c r="B79" s="53"/>
      <c r="C79" s="18" t="s">
        <v>162</v>
      </c>
      <c r="D79" s="31">
        <v>1</v>
      </c>
      <c r="E79" s="31">
        <v>5</v>
      </c>
      <c r="F79" s="31">
        <v>1</v>
      </c>
      <c r="G79" s="31">
        <v>5</v>
      </c>
      <c r="H79" s="67">
        <v>0</v>
      </c>
      <c r="I79" s="24"/>
      <c r="J79" s="31">
        <v>1</v>
      </c>
      <c r="K79" s="31">
        <v>5</v>
      </c>
      <c r="L79" s="8"/>
      <c r="M79" s="8"/>
      <c r="N79" s="8"/>
      <c r="O79" s="8"/>
      <c r="P79" s="8"/>
      <c r="Q79" s="8"/>
    </row>
    <row r="80" spans="1:17" ht="12.75" customHeight="1" x14ac:dyDescent="0.25">
      <c r="A80" s="18"/>
      <c r="B80" s="53"/>
      <c r="C80" s="18" t="s">
        <v>163</v>
      </c>
      <c r="D80" s="31">
        <v>8</v>
      </c>
      <c r="E80" s="31">
        <f>100+5+5+10</f>
        <v>120</v>
      </c>
      <c r="F80" s="31">
        <v>4</v>
      </c>
      <c r="G80" s="31">
        <v>80</v>
      </c>
      <c r="H80" s="67">
        <v>0</v>
      </c>
      <c r="I80" s="24"/>
      <c r="J80" s="31">
        <v>8</v>
      </c>
      <c r="K80" s="31">
        <f>100+5+5+10</f>
        <v>120</v>
      </c>
      <c r="L80" s="8"/>
      <c r="M80" s="8"/>
      <c r="N80" s="8"/>
      <c r="O80" s="8"/>
      <c r="P80" s="8"/>
      <c r="Q80" s="8"/>
    </row>
    <row r="81" spans="1:17" ht="12.75" customHeight="1" x14ac:dyDescent="0.25">
      <c r="A81" s="18"/>
      <c r="B81" s="53"/>
      <c r="C81" s="18" t="s">
        <v>352</v>
      </c>
      <c r="D81" s="31">
        <v>6</v>
      </c>
      <c r="E81" s="31">
        <f>5+15+5+10+5+5</f>
        <v>45</v>
      </c>
      <c r="F81" s="31">
        <v>6</v>
      </c>
      <c r="G81" s="31">
        <v>45</v>
      </c>
      <c r="H81" s="67">
        <v>0</v>
      </c>
      <c r="I81" s="24"/>
      <c r="J81" s="31">
        <v>6</v>
      </c>
      <c r="K81" s="31">
        <f>5+15+5+10+5+5</f>
        <v>45</v>
      </c>
      <c r="L81" s="8"/>
      <c r="M81" s="8"/>
      <c r="N81" s="8"/>
      <c r="O81" s="8"/>
      <c r="P81" s="8"/>
      <c r="Q81" s="8"/>
    </row>
    <row r="82" spans="1:17" ht="12.75" customHeight="1" x14ac:dyDescent="0.25">
      <c r="A82" s="18"/>
      <c r="B82" s="53"/>
      <c r="C82" s="18" t="s">
        <v>171</v>
      </c>
      <c r="D82" s="31">
        <v>1</v>
      </c>
      <c r="E82" s="31">
        <f>4</f>
        <v>4</v>
      </c>
      <c r="F82" s="31">
        <v>1</v>
      </c>
      <c r="G82" s="31">
        <f>4</f>
        <v>4</v>
      </c>
      <c r="H82" s="67">
        <v>0</v>
      </c>
      <c r="I82" s="24"/>
      <c r="J82" s="31">
        <v>1</v>
      </c>
      <c r="K82" s="31">
        <f>4</f>
        <v>4</v>
      </c>
      <c r="L82" s="8"/>
      <c r="M82" s="8"/>
      <c r="N82" s="8"/>
      <c r="O82" s="8"/>
      <c r="P82" s="8"/>
      <c r="Q82" s="8"/>
    </row>
    <row r="83" spans="1:17" ht="12.75" customHeight="1" x14ac:dyDescent="0.25">
      <c r="A83" s="18"/>
      <c r="B83" s="53"/>
      <c r="C83" s="18" t="s">
        <v>164</v>
      </c>
      <c r="D83" s="31">
        <v>8</v>
      </c>
      <c r="E83" s="31">
        <v>44</v>
      </c>
      <c r="F83" s="31">
        <v>8</v>
      </c>
      <c r="G83" s="31">
        <v>44</v>
      </c>
      <c r="H83" s="67">
        <v>0</v>
      </c>
      <c r="I83" s="24"/>
      <c r="J83" s="31">
        <v>8</v>
      </c>
      <c r="K83" s="31">
        <v>44</v>
      </c>
      <c r="L83" s="8"/>
      <c r="M83" s="8"/>
      <c r="N83" s="8"/>
      <c r="O83" s="8"/>
      <c r="P83" s="8"/>
      <c r="Q83" s="8"/>
    </row>
    <row r="84" spans="1:17" ht="12.75" customHeight="1" x14ac:dyDescent="0.25">
      <c r="A84" s="18"/>
      <c r="B84" s="53"/>
      <c r="C84" s="18" t="s">
        <v>357</v>
      </c>
      <c r="D84" s="31">
        <v>1</v>
      </c>
      <c r="E84" s="31">
        <v>5</v>
      </c>
      <c r="F84" s="31">
        <v>1</v>
      </c>
      <c r="G84" s="31">
        <v>5</v>
      </c>
      <c r="H84" s="67">
        <v>0</v>
      </c>
      <c r="I84" s="24"/>
      <c r="J84" s="31">
        <v>1</v>
      </c>
      <c r="K84" s="31">
        <v>5</v>
      </c>
      <c r="L84" s="8"/>
      <c r="M84" s="8"/>
      <c r="N84" s="8"/>
      <c r="O84" s="8"/>
      <c r="P84" s="8"/>
      <c r="Q84" s="8"/>
    </row>
    <row r="85" spans="1:17" ht="12.75" customHeight="1" x14ac:dyDescent="0.25">
      <c r="A85" s="18"/>
      <c r="B85" s="53"/>
      <c r="C85" s="18" t="s">
        <v>165</v>
      </c>
      <c r="D85" s="31">
        <v>3</v>
      </c>
      <c r="E85" s="31">
        <v>30</v>
      </c>
      <c r="F85" s="31"/>
      <c r="G85" s="31"/>
      <c r="H85" s="67">
        <v>0</v>
      </c>
      <c r="I85" s="24"/>
      <c r="J85" s="31">
        <v>3</v>
      </c>
      <c r="K85" s="31">
        <v>30</v>
      </c>
      <c r="L85" s="8"/>
      <c r="M85" s="8"/>
      <c r="N85" s="8"/>
      <c r="O85" s="8"/>
      <c r="P85" s="8"/>
      <c r="Q85" s="8"/>
    </row>
    <row r="86" spans="1:17" ht="12.75" customHeight="1" x14ac:dyDescent="0.25">
      <c r="A86" s="18"/>
      <c r="B86" s="53"/>
      <c r="C86" s="18" t="s">
        <v>166</v>
      </c>
      <c r="D86" s="31">
        <v>3</v>
      </c>
      <c r="E86" s="31">
        <v>20</v>
      </c>
      <c r="F86" s="31"/>
      <c r="G86" s="31"/>
      <c r="H86" s="67">
        <v>0</v>
      </c>
      <c r="I86" s="24"/>
      <c r="J86" s="31">
        <v>3</v>
      </c>
      <c r="K86" s="31">
        <v>20</v>
      </c>
      <c r="L86" s="8"/>
      <c r="M86" s="8"/>
      <c r="N86" s="8"/>
      <c r="O86" s="8"/>
      <c r="P86" s="8"/>
      <c r="Q86" s="8"/>
    </row>
    <row r="87" spans="1:17" ht="12.75" customHeight="1" x14ac:dyDescent="0.25">
      <c r="A87" s="18"/>
      <c r="B87" s="53"/>
      <c r="C87" s="18" t="s">
        <v>353</v>
      </c>
      <c r="D87" s="31">
        <v>3</v>
      </c>
      <c r="E87" s="31">
        <v>21</v>
      </c>
      <c r="F87" s="31"/>
      <c r="G87" s="31"/>
      <c r="H87" s="67">
        <v>0</v>
      </c>
      <c r="I87" s="24"/>
      <c r="J87" s="31">
        <v>3</v>
      </c>
      <c r="K87" s="31">
        <v>21</v>
      </c>
      <c r="L87" s="8"/>
      <c r="M87" s="8"/>
      <c r="N87" s="8"/>
      <c r="O87" s="8"/>
      <c r="P87" s="8"/>
      <c r="Q87" s="8"/>
    </row>
    <row r="88" spans="1:17" ht="12.75" customHeight="1" x14ac:dyDescent="0.25">
      <c r="A88" s="18"/>
      <c r="B88" s="53"/>
      <c r="C88" s="18" t="s">
        <v>354</v>
      </c>
      <c r="D88" s="31">
        <v>1</v>
      </c>
      <c r="E88" s="31">
        <v>10</v>
      </c>
      <c r="F88" s="31">
        <v>1</v>
      </c>
      <c r="G88" s="31">
        <v>10</v>
      </c>
      <c r="H88" s="67">
        <v>0</v>
      </c>
      <c r="I88" s="24"/>
      <c r="J88" s="31">
        <v>1</v>
      </c>
      <c r="K88" s="31">
        <v>10</v>
      </c>
      <c r="L88" s="8"/>
      <c r="M88" s="8"/>
      <c r="N88" s="8"/>
      <c r="O88" s="8"/>
      <c r="P88" s="8"/>
      <c r="Q88" s="8"/>
    </row>
    <row r="89" spans="1:17" ht="12.75" customHeight="1" x14ac:dyDescent="0.25">
      <c r="A89" s="18"/>
      <c r="B89" s="53"/>
      <c r="C89" s="18" t="s">
        <v>167</v>
      </c>
      <c r="D89" s="31"/>
      <c r="E89" s="31"/>
      <c r="F89" s="31"/>
      <c r="G89" s="31"/>
      <c r="H89" s="67">
        <v>0</v>
      </c>
      <c r="I89" s="24"/>
      <c r="J89" s="31"/>
      <c r="K89" s="31"/>
      <c r="L89" s="8"/>
      <c r="M89" s="8"/>
      <c r="N89" s="8"/>
      <c r="O89" s="8"/>
      <c r="P89" s="8"/>
      <c r="Q89" s="8"/>
    </row>
    <row r="90" spans="1:17" ht="12.75" customHeight="1" x14ac:dyDescent="0.25">
      <c r="A90" s="18"/>
      <c r="B90" s="53"/>
      <c r="C90" s="18" t="s">
        <v>355</v>
      </c>
      <c r="D90" s="31">
        <v>17</v>
      </c>
      <c r="E90" s="31">
        <v>180</v>
      </c>
      <c r="F90" s="31">
        <v>15</v>
      </c>
      <c r="G90" s="31">
        <v>164</v>
      </c>
      <c r="H90" s="67">
        <v>0</v>
      </c>
      <c r="I90" s="24"/>
      <c r="J90" s="31">
        <v>17</v>
      </c>
      <c r="K90" s="31">
        <v>180</v>
      </c>
      <c r="L90" s="8"/>
      <c r="M90" s="8"/>
      <c r="N90" s="8"/>
      <c r="O90" s="8"/>
      <c r="P90" s="8"/>
      <c r="Q90" s="8"/>
    </row>
    <row r="91" spans="1:17" ht="12.75" customHeight="1" x14ac:dyDescent="0.25">
      <c r="A91" s="18"/>
      <c r="B91" s="53"/>
      <c r="C91" s="18" t="s">
        <v>168</v>
      </c>
      <c r="D91" s="31"/>
      <c r="E91" s="31"/>
      <c r="F91" s="31"/>
      <c r="G91" s="31"/>
      <c r="H91" s="67">
        <v>0</v>
      </c>
      <c r="I91" s="24"/>
      <c r="J91" s="31"/>
      <c r="K91" s="31"/>
      <c r="L91" s="8"/>
      <c r="M91" s="8"/>
      <c r="N91" s="8"/>
      <c r="O91" s="8"/>
      <c r="P91" s="8"/>
      <c r="Q91" s="8"/>
    </row>
    <row r="92" spans="1:17" ht="12.75" customHeight="1" x14ac:dyDescent="0.25">
      <c r="A92" s="18"/>
      <c r="B92" s="53"/>
      <c r="C92" s="18" t="s">
        <v>169</v>
      </c>
      <c r="D92" s="31"/>
      <c r="E92" s="31"/>
      <c r="F92" s="31"/>
      <c r="G92" s="31"/>
      <c r="H92" s="67">
        <v>0</v>
      </c>
      <c r="I92" s="24"/>
      <c r="J92" s="31"/>
      <c r="K92" s="31"/>
      <c r="L92" s="8"/>
      <c r="M92" s="8"/>
      <c r="N92" s="8"/>
      <c r="O92" s="8"/>
      <c r="P92" s="8"/>
      <c r="Q92" s="8"/>
    </row>
    <row r="93" spans="1:17" ht="12.75" customHeight="1" x14ac:dyDescent="0.25">
      <c r="A93" s="18"/>
      <c r="B93" s="53"/>
      <c r="C93" s="18" t="s">
        <v>358</v>
      </c>
      <c r="D93" s="31">
        <v>1</v>
      </c>
      <c r="E93" s="31">
        <v>6</v>
      </c>
      <c r="F93" s="31">
        <v>1</v>
      </c>
      <c r="G93" s="31">
        <v>6</v>
      </c>
      <c r="H93" s="67">
        <v>0</v>
      </c>
      <c r="I93" s="24"/>
      <c r="J93" s="31">
        <v>5</v>
      </c>
      <c r="K93" s="31">
        <v>25</v>
      </c>
      <c r="L93" s="8"/>
      <c r="M93" s="8"/>
      <c r="N93" s="8"/>
      <c r="O93" s="8"/>
      <c r="P93" s="8"/>
      <c r="Q93" s="8"/>
    </row>
    <row r="94" spans="1:17" ht="12.75" customHeight="1" x14ac:dyDescent="0.25">
      <c r="A94" s="18"/>
      <c r="B94" s="53"/>
      <c r="C94" s="18" t="s">
        <v>170</v>
      </c>
      <c r="D94" s="31">
        <v>6</v>
      </c>
      <c r="E94" s="31">
        <f>6+15+8+10+8+15</f>
        <v>62</v>
      </c>
      <c r="F94" s="31">
        <v>6</v>
      </c>
      <c r="G94" s="31">
        <v>48</v>
      </c>
      <c r="H94" s="67">
        <v>0</v>
      </c>
      <c r="I94" s="24"/>
      <c r="J94" s="31">
        <v>6</v>
      </c>
      <c r="K94" s="31">
        <f>6+15+8+10+8+15</f>
        <v>62</v>
      </c>
      <c r="L94" s="8"/>
      <c r="M94" s="8"/>
      <c r="N94" s="8"/>
      <c r="O94" s="8"/>
      <c r="P94" s="8"/>
      <c r="Q94" s="8"/>
    </row>
    <row r="95" spans="1:17" ht="12.75" customHeight="1" x14ac:dyDescent="0.25">
      <c r="A95" s="18"/>
      <c r="B95" s="53"/>
      <c r="C95" s="18" t="s">
        <v>356</v>
      </c>
      <c r="D95" s="31">
        <v>1</v>
      </c>
      <c r="E95" s="31">
        <v>10</v>
      </c>
      <c r="F95" s="31">
        <v>1</v>
      </c>
      <c r="G95" s="31">
        <v>10</v>
      </c>
      <c r="H95" s="67">
        <v>0</v>
      </c>
      <c r="I95" s="24"/>
      <c r="J95" s="31">
        <v>1</v>
      </c>
      <c r="K95" s="31">
        <v>10</v>
      </c>
      <c r="L95" s="8"/>
      <c r="M95" s="8"/>
      <c r="N95" s="8"/>
      <c r="O95" s="8"/>
      <c r="P95" s="8"/>
      <c r="Q95" s="8"/>
    </row>
    <row r="96" spans="1:17" ht="12.75" customHeight="1" x14ac:dyDescent="0.25">
      <c r="A96" s="18"/>
      <c r="B96" s="53"/>
      <c r="C96" s="18" t="s">
        <v>172</v>
      </c>
      <c r="D96" s="31">
        <v>5</v>
      </c>
      <c r="E96" s="31">
        <v>28</v>
      </c>
      <c r="F96" s="31">
        <v>5</v>
      </c>
      <c r="G96" s="31">
        <v>28</v>
      </c>
      <c r="H96" s="67">
        <v>0</v>
      </c>
      <c r="I96" s="24"/>
      <c r="J96" s="31">
        <v>5</v>
      </c>
      <c r="K96" s="31">
        <v>28</v>
      </c>
      <c r="L96" s="8"/>
      <c r="M96" s="8"/>
      <c r="N96" s="8"/>
      <c r="O96" s="8"/>
      <c r="P96" s="8"/>
      <c r="Q96" s="8"/>
    </row>
    <row r="97" spans="1:17" ht="12.75" customHeight="1" x14ac:dyDescent="0.25">
      <c r="A97" s="18"/>
      <c r="B97" s="53"/>
      <c r="C97" s="18" t="s">
        <v>173</v>
      </c>
      <c r="D97" s="31">
        <v>3</v>
      </c>
      <c r="E97" s="31">
        <v>11</v>
      </c>
      <c r="F97" s="31">
        <v>3</v>
      </c>
      <c r="G97" s="31">
        <v>11</v>
      </c>
      <c r="H97" s="67">
        <v>0</v>
      </c>
      <c r="I97" s="24"/>
      <c r="J97" s="31">
        <v>3</v>
      </c>
      <c r="K97" s="31">
        <v>11</v>
      </c>
      <c r="L97" s="8"/>
      <c r="M97" s="8"/>
      <c r="N97" s="8"/>
      <c r="O97" s="8"/>
      <c r="P97" s="8"/>
      <c r="Q97" s="8"/>
    </row>
    <row r="98" spans="1:17" ht="12.75" customHeight="1" x14ac:dyDescent="0.25">
      <c r="A98" s="18"/>
      <c r="B98" s="53"/>
      <c r="C98" s="50" t="s">
        <v>174</v>
      </c>
      <c r="D98" s="31"/>
      <c r="E98" s="31"/>
      <c r="F98" s="31"/>
      <c r="G98" s="31"/>
      <c r="H98" s="67">
        <v>0</v>
      </c>
      <c r="I98" s="24"/>
      <c r="J98" s="31"/>
      <c r="K98" s="31"/>
      <c r="L98" s="8"/>
      <c r="M98" s="8"/>
      <c r="N98" s="8"/>
      <c r="O98" s="8"/>
      <c r="P98" s="8"/>
      <c r="Q98" s="8"/>
    </row>
    <row r="99" spans="1:17" ht="22.5" customHeight="1" x14ac:dyDescent="0.2">
      <c r="A99" s="18"/>
      <c r="B99" s="18"/>
      <c r="C99" s="19" t="s">
        <v>30</v>
      </c>
      <c r="D99" s="31">
        <f t="shared" ref="D99:Q99" si="1">SUM(D63:D98)</f>
        <v>337</v>
      </c>
      <c r="E99" s="31">
        <f t="shared" si="1"/>
        <v>3219.5</v>
      </c>
      <c r="F99" s="31">
        <f t="shared" si="1"/>
        <v>257</v>
      </c>
      <c r="G99" s="31">
        <f t="shared" si="1"/>
        <v>2433.5</v>
      </c>
      <c r="H99" s="31">
        <f t="shared" si="1"/>
        <v>0</v>
      </c>
      <c r="I99" s="31">
        <f t="shared" si="1"/>
        <v>0</v>
      </c>
      <c r="J99" s="31">
        <f t="shared" si="1"/>
        <v>265</v>
      </c>
      <c r="K99" s="31">
        <f t="shared" si="1"/>
        <v>1920</v>
      </c>
      <c r="L99" s="31">
        <f t="shared" si="1"/>
        <v>0</v>
      </c>
      <c r="M99" s="31">
        <f t="shared" si="1"/>
        <v>0</v>
      </c>
      <c r="N99" s="31">
        <f t="shared" si="1"/>
        <v>0</v>
      </c>
      <c r="O99" s="31">
        <f t="shared" si="1"/>
        <v>0</v>
      </c>
      <c r="P99" s="31">
        <f t="shared" si="1"/>
        <v>0</v>
      </c>
      <c r="Q99" s="31">
        <f t="shared" si="1"/>
        <v>0</v>
      </c>
    </row>
    <row r="100" spans="1:17" ht="15" x14ac:dyDescent="0.25">
      <c r="A100" s="18"/>
      <c r="B100" s="18"/>
      <c r="C100" s="55" t="s">
        <v>223</v>
      </c>
      <c r="D100" s="31"/>
      <c r="E100" s="31"/>
      <c r="F100" s="31"/>
      <c r="G100" s="31"/>
      <c r="H100" s="67">
        <v>0</v>
      </c>
      <c r="I100" s="24"/>
      <c r="J100" s="31"/>
      <c r="K100" s="31"/>
      <c r="L100" s="8"/>
      <c r="M100" s="8"/>
      <c r="N100" s="8"/>
      <c r="O100" s="8"/>
      <c r="P100" s="8"/>
      <c r="Q100" s="8"/>
    </row>
    <row r="101" spans="1:17" ht="15" x14ac:dyDescent="0.25">
      <c r="A101" s="18"/>
      <c r="B101" s="53"/>
      <c r="C101" s="50" t="s">
        <v>175</v>
      </c>
      <c r="D101" s="31">
        <v>70</v>
      </c>
      <c r="E101" s="31">
        <f>467+54+160+100</f>
        <v>781</v>
      </c>
      <c r="F101" s="31">
        <v>40</v>
      </c>
      <c r="G101" s="31">
        <v>395</v>
      </c>
      <c r="H101" s="67">
        <v>0</v>
      </c>
      <c r="I101" s="24"/>
      <c r="J101" s="31">
        <v>65</v>
      </c>
      <c r="K101" s="31">
        <v>700</v>
      </c>
      <c r="L101" s="8"/>
      <c r="M101" s="8"/>
      <c r="N101" s="8"/>
      <c r="O101" s="8"/>
      <c r="P101" s="8"/>
      <c r="Q101" s="8"/>
    </row>
    <row r="102" spans="1:17" ht="15" x14ac:dyDescent="0.25">
      <c r="A102" s="18"/>
      <c r="B102" s="53"/>
      <c r="C102" s="50" t="s">
        <v>176</v>
      </c>
      <c r="D102" s="31">
        <v>42</v>
      </c>
      <c r="E102" s="31">
        <f>328+160+200</f>
        <v>688</v>
      </c>
      <c r="F102" s="31">
        <v>32</v>
      </c>
      <c r="G102" s="31">
        <v>258</v>
      </c>
      <c r="H102" s="67">
        <v>0</v>
      </c>
      <c r="I102" s="24"/>
      <c r="J102" s="31">
        <v>38</v>
      </c>
      <c r="K102" s="31">
        <v>520</v>
      </c>
      <c r="L102" s="8"/>
      <c r="M102" s="8"/>
      <c r="N102" s="8"/>
      <c r="O102" s="8"/>
      <c r="P102" s="8"/>
      <c r="Q102" s="8"/>
    </row>
    <row r="103" spans="1:17" ht="15" x14ac:dyDescent="0.25">
      <c r="A103" s="18"/>
      <c r="B103" s="53"/>
      <c r="C103" s="50" t="s">
        <v>177</v>
      </c>
      <c r="D103" s="31">
        <v>19</v>
      </c>
      <c r="E103" s="31">
        <v>125</v>
      </c>
      <c r="F103" s="31">
        <v>19</v>
      </c>
      <c r="G103" s="31">
        <v>125</v>
      </c>
      <c r="H103" s="67">
        <v>0</v>
      </c>
      <c r="I103" s="24"/>
      <c r="J103" s="31">
        <v>25</v>
      </c>
      <c r="K103" s="31">
        <v>130</v>
      </c>
      <c r="L103" s="8"/>
      <c r="M103" s="8"/>
      <c r="N103" s="8"/>
      <c r="O103" s="8"/>
      <c r="P103" s="8"/>
      <c r="Q103" s="8"/>
    </row>
    <row r="104" spans="1:17" ht="15" x14ac:dyDescent="0.25">
      <c r="A104" s="18"/>
      <c r="B104" s="53"/>
      <c r="C104" s="50" t="s">
        <v>178</v>
      </c>
      <c r="D104" s="31">
        <v>27</v>
      </c>
      <c r="E104" s="31">
        <v>292</v>
      </c>
      <c r="F104" s="31">
        <v>27</v>
      </c>
      <c r="G104" s="31">
        <v>292</v>
      </c>
      <c r="H104" s="67">
        <v>0</v>
      </c>
      <c r="I104" s="24"/>
      <c r="J104" s="31">
        <v>27</v>
      </c>
      <c r="K104" s="31">
        <v>292</v>
      </c>
      <c r="L104" s="8"/>
      <c r="M104" s="8"/>
      <c r="N104" s="8"/>
      <c r="O104" s="8"/>
      <c r="P104" s="8"/>
      <c r="Q104" s="8"/>
    </row>
    <row r="105" spans="1:17" ht="15" x14ac:dyDescent="0.25">
      <c r="A105" s="18"/>
      <c r="B105" s="53"/>
      <c r="C105" s="50" t="s">
        <v>179</v>
      </c>
      <c r="D105" s="31">
        <v>17</v>
      </c>
      <c r="E105" s="31">
        <f>45+10+5+10+4+10+15+8+8+69+20</f>
        <v>204</v>
      </c>
      <c r="F105" s="31">
        <v>15</v>
      </c>
      <c r="G105" s="31">
        <v>184</v>
      </c>
      <c r="H105" s="67">
        <v>0</v>
      </c>
      <c r="I105" s="24"/>
      <c r="J105" s="31">
        <v>17</v>
      </c>
      <c r="K105" s="31">
        <f>45+10+5+10+4+10+15+8+8+69+20</f>
        <v>204</v>
      </c>
      <c r="L105" s="8"/>
      <c r="M105" s="8"/>
      <c r="N105" s="8"/>
      <c r="O105" s="8"/>
      <c r="P105" s="8"/>
      <c r="Q105" s="8"/>
    </row>
    <row r="106" spans="1:17" ht="15" x14ac:dyDescent="0.25">
      <c r="A106" s="18"/>
      <c r="B106" s="53"/>
      <c r="C106" s="50" t="s">
        <v>180</v>
      </c>
      <c r="D106" s="31">
        <v>7</v>
      </c>
      <c r="E106" s="31">
        <f>7+14.5+7+10+26</f>
        <v>64.5</v>
      </c>
      <c r="F106" s="31">
        <v>7</v>
      </c>
      <c r="G106" s="31">
        <v>64.5</v>
      </c>
      <c r="H106" s="67">
        <v>0</v>
      </c>
      <c r="I106" s="24"/>
      <c r="J106" s="31">
        <v>7</v>
      </c>
      <c r="K106" s="31">
        <f>7+14.5+7+10+26</f>
        <v>64.5</v>
      </c>
      <c r="L106" s="8"/>
      <c r="M106" s="8"/>
      <c r="N106" s="8"/>
      <c r="O106" s="8"/>
      <c r="P106" s="8"/>
      <c r="Q106" s="8"/>
    </row>
    <row r="107" spans="1:17" ht="15" x14ac:dyDescent="0.25">
      <c r="A107" s="18"/>
      <c r="B107" s="53"/>
      <c r="C107" s="50" t="s">
        <v>181</v>
      </c>
      <c r="D107" s="31">
        <v>11</v>
      </c>
      <c r="E107" s="31">
        <f>10+5+10+5+10+4+13+28</f>
        <v>85</v>
      </c>
      <c r="F107" s="31">
        <v>11</v>
      </c>
      <c r="G107" s="31">
        <v>85</v>
      </c>
      <c r="H107" s="67">
        <v>0</v>
      </c>
      <c r="I107" s="24"/>
      <c r="J107" s="31">
        <v>11</v>
      </c>
      <c r="K107" s="31">
        <f>10+5+10+5+10+4+13+28</f>
        <v>85</v>
      </c>
      <c r="L107" s="8"/>
      <c r="M107" s="8"/>
      <c r="N107" s="8"/>
      <c r="O107" s="8"/>
      <c r="P107" s="8"/>
      <c r="Q107" s="8"/>
    </row>
    <row r="108" spans="1:17" ht="15" x14ac:dyDescent="0.25">
      <c r="A108" s="18"/>
      <c r="B108" s="53"/>
      <c r="C108" s="50" t="s">
        <v>182</v>
      </c>
      <c r="D108" s="31">
        <v>40</v>
      </c>
      <c r="E108" s="31">
        <v>375</v>
      </c>
      <c r="F108" s="31">
        <v>28</v>
      </c>
      <c r="G108" s="31">
        <v>254.5</v>
      </c>
      <c r="H108" s="67">
        <v>0</v>
      </c>
      <c r="I108" s="24"/>
      <c r="J108" s="31">
        <v>40</v>
      </c>
      <c r="K108" s="31">
        <v>375</v>
      </c>
      <c r="L108" s="8"/>
      <c r="M108" s="8"/>
      <c r="N108" s="8"/>
      <c r="O108" s="8"/>
      <c r="P108" s="8"/>
      <c r="Q108" s="8"/>
    </row>
    <row r="109" spans="1:17" ht="15" x14ac:dyDescent="0.25">
      <c r="A109" s="18"/>
      <c r="B109" s="53"/>
      <c r="C109" s="50" t="s">
        <v>183</v>
      </c>
      <c r="D109" s="31">
        <v>13</v>
      </c>
      <c r="E109" s="31">
        <f>6+4+5+5+3+7+7+5+7+5+7+8</f>
        <v>69</v>
      </c>
      <c r="F109" s="31">
        <v>11</v>
      </c>
      <c r="G109" s="31">
        <v>61</v>
      </c>
      <c r="H109" s="67">
        <v>0</v>
      </c>
      <c r="I109" s="24"/>
      <c r="J109" s="31">
        <v>13</v>
      </c>
      <c r="K109" s="31">
        <f>6+4+5+5+3+7+7+5+7+5+7+8</f>
        <v>69</v>
      </c>
      <c r="L109" s="8"/>
      <c r="M109" s="8"/>
      <c r="N109" s="8"/>
      <c r="O109" s="8"/>
      <c r="P109" s="8"/>
      <c r="Q109" s="8"/>
    </row>
    <row r="110" spans="1:17" ht="15" x14ac:dyDescent="0.25">
      <c r="A110" s="18"/>
      <c r="B110" s="53"/>
      <c r="C110" s="50" t="s">
        <v>184</v>
      </c>
      <c r="D110" s="31">
        <v>9</v>
      </c>
      <c r="E110" s="31">
        <f>1.8+1.8+1.8+7+8+8+8+8+2</f>
        <v>46.4</v>
      </c>
      <c r="F110" s="31">
        <v>9</v>
      </c>
      <c r="G110" s="31">
        <v>46.4</v>
      </c>
      <c r="H110" s="67">
        <v>0</v>
      </c>
      <c r="I110" s="24"/>
      <c r="J110" s="31">
        <v>9</v>
      </c>
      <c r="K110" s="31">
        <f>1.8+1.8+1.8+7+8+8+8+8+2</f>
        <v>46.4</v>
      </c>
      <c r="L110" s="8"/>
      <c r="M110" s="8"/>
      <c r="N110" s="8"/>
      <c r="O110" s="8"/>
      <c r="P110" s="8"/>
      <c r="Q110" s="8"/>
    </row>
    <row r="111" spans="1:17" ht="15" x14ac:dyDescent="0.25">
      <c r="A111" s="18"/>
      <c r="B111" s="53"/>
      <c r="C111" s="50" t="s">
        <v>185</v>
      </c>
      <c r="D111" s="31">
        <v>7</v>
      </c>
      <c r="E111" s="31">
        <v>79.5</v>
      </c>
      <c r="F111" s="31">
        <v>7</v>
      </c>
      <c r="G111" s="31">
        <v>79.5</v>
      </c>
      <c r="H111" s="67">
        <v>0</v>
      </c>
      <c r="I111" s="24"/>
      <c r="J111" s="31">
        <v>7</v>
      </c>
      <c r="K111" s="31">
        <v>79.5</v>
      </c>
      <c r="L111" s="8"/>
      <c r="M111" s="8"/>
      <c r="N111" s="8"/>
      <c r="O111" s="8"/>
      <c r="P111" s="8"/>
      <c r="Q111" s="8"/>
    </row>
    <row r="112" spans="1:17" ht="15" x14ac:dyDescent="0.25">
      <c r="A112" s="18"/>
      <c r="B112" s="53"/>
      <c r="C112" s="50" t="s">
        <v>186</v>
      </c>
      <c r="D112" s="31">
        <v>5</v>
      </c>
      <c r="E112" s="31">
        <v>45</v>
      </c>
      <c r="F112" s="31"/>
      <c r="G112" s="31"/>
      <c r="H112" s="67">
        <v>0</v>
      </c>
      <c r="I112" s="24"/>
      <c r="J112" s="31">
        <v>5</v>
      </c>
      <c r="K112" s="31">
        <v>45</v>
      </c>
      <c r="L112" s="8"/>
      <c r="M112" s="8"/>
      <c r="N112" s="8"/>
      <c r="O112" s="8"/>
      <c r="P112" s="8"/>
      <c r="Q112" s="8"/>
    </row>
    <row r="113" spans="1:17" ht="15" x14ac:dyDescent="0.25">
      <c r="A113" s="18"/>
      <c r="B113" s="53"/>
      <c r="C113" s="50" t="s">
        <v>187</v>
      </c>
      <c r="D113" s="31">
        <v>5</v>
      </c>
      <c r="E113" s="31">
        <v>50</v>
      </c>
      <c r="F113" s="31"/>
      <c r="G113" s="31"/>
      <c r="H113" s="67">
        <v>0</v>
      </c>
      <c r="I113" s="24"/>
      <c r="J113" s="31">
        <v>5</v>
      </c>
      <c r="K113" s="31">
        <v>50</v>
      </c>
      <c r="L113" s="8"/>
      <c r="M113" s="8"/>
      <c r="N113" s="8"/>
      <c r="O113" s="8"/>
      <c r="P113" s="8"/>
      <c r="Q113" s="8"/>
    </row>
    <row r="114" spans="1:17" ht="15" x14ac:dyDescent="0.25">
      <c r="A114" s="18"/>
      <c r="B114" s="53"/>
      <c r="C114" s="50" t="s">
        <v>188</v>
      </c>
      <c r="D114" s="31">
        <v>21</v>
      </c>
      <c r="E114" s="31">
        <f>5+5+13.5+7.3+1.1+6+7+7+7+9+5</f>
        <v>72.900000000000006</v>
      </c>
      <c r="F114" s="31">
        <v>21</v>
      </c>
      <c r="G114" s="31">
        <v>72.900000000000006</v>
      </c>
      <c r="H114" s="67">
        <v>0</v>
      </c>
      <c r="I114" s="24"/>
      <c r="J114" s="31">
        <v>21</v>
      </c>
      <c r="K114" s="31">
        <f>5+5+13.5+7.3+1.1+6+7+7+7+9+5</f>
        <v>72.900000000000006</v>
      </c>
      <c r="L114" s="8"/>
      <c r="M114" s="8"/>
      <c r="N114" s="8"/>
      <c r="O114" s="8"/>
      <c r="P114" s="8"/>
      <c r="Q114" s="8"/>
    </row>
    <row r="115" spans="1:17" ht="15" x14ac:dyDescent="0.25">
      <c r="A115" s="18"/>
      <c r="B115" s="53"/>
      <c r="C115" s="50" t="s">
        <v>189</v>
      </c>
      <c r="D115" s="31">
        <v>14</v>
      </c>
      <c r="E115" s="31">
        <v>110</v>
      </c>
      <c r="F115" s="31">
        <v>4</v>
      </c>
      <c r="G115" s="31">
        <v>36</v>
      </c>
      <c r="H115" s="67">
        <v>0</v>
      </c>
      <c r="I115" s="24"/>
      <c r="J115" s="31">
        <v>14</v>
      </c>
      <c r="K115" s="31">
        <v>110</v>
      </c>
      <c r="L115" s="8"/>
      <c r="M115" s="8"/>
      <c r="N115" s="8"/>
      <c r="O115" s="8"/>
      <c r="P115" s="8"/>
      <c r="Q115" s="8"/>
    </row>
    <row r="116" spans="1:17" ht="15" x14ac:dyDescent="0.25">
      <c r="A116" s="18"/>
      <c r="B116" s="53"/>
      <c r="C116" s="50" t="s">
        <v>190</v>
      </c>
      <c r="D116" s="31">
        <v>2</v>
      </c>
      <c r="E116" s="31">
        <f>8+10</f>
        <v>18</v>
      </c>
      <c r="F116" s="31">
        <v>2</v>
      </c>
      <c r="G116" s="31">
        <f>8+10</f>
        <v>18</v>
      </c>
      <c r="H116" s="67">
        <v>0</v>
      </c>
      <c r="I116" s="24"/>
      <c r="J116" s="31">
        <v>2</v>
      </c>
      <c r="K116" s="31">
        <f>8+10</f>
        <v>18</v>
      </c>
      <c r="L116" s="8"/>
      <c r="M116" s="8"/>
      <c r="N116" s="8"/>
      <c r="O116" s="8"/>
      <c r="P116" s="8"/>
      <c r="Q116" s="8"/>
    </row>
    <row r="117" spans="1:17" ht="15" x14ac:dyDescent="0.25">
      <c r="A117" s="18"/>
      <c r="B117" s="53"/>
      <c r="C117" s="50" t="s">
        <v>191</v>
      </c>
      <c r="D117" s="31"/>
      <c r="E117" s="31"/>
      <c r="F117" s="31"/>
      <c r="G117" s="31"/>
      <c r="H117" s="67">
        <v>0</v>
      </c>
      <c r="I117" s="24"/>
      <c r="J117" s="31"/>
      <c r="K117" s="31"/>
      <c r="L117" s="8"/>
      <c r="M117" s="8"/>
      <c r="N117" s="8"/>
      <c r="O117" s="8"/>
      <c r="P117" s="8"/>
      <c r="Q117" s="8"/>
    </row>
    <row r="118" spans="1:17" ht="15" x14ac:dyDescent="0.25">
      <c r="A118" s="18"/>
      <c r="B118" s="53"/>
      <c r="C118" s="50" t="s">
        <v>192</v>
      </c>
      <c r="D118" s="64">
        <v>12</v>
      </c>
      <c r="E118" s="64">
        <v>90</v>
      </c>
      <c r="F118" s="64"/>
      <c r="G118" s="64"/>
      <c r="H118" s="67">
        <v>0</v>
      </c>
      <c r="I118" s="24"/>
      <c r="J118" s="64">
        <v>12</v>
      </c>
      <c r="K118" s="64">
        <v>90</v>
      </c>
      <c r="L118" s="8"/>
      <c r="M118" s="8"/>
      <c r="N118" s="8"/>
      <c r="O118" s="8"/>
      <c r="P118" s="8"/>
      <c r="Q118" s="8"/>
    </row>
    <row r="119" spans="1:17" ht="15" x14ac:dyDescent="0.25">
      <c r="A119" s="18"/>
      <c r="B119" s="53"/>
      <c r="C119" s="50" t="s">
        <v>193</v>
      </c>
      <c r="D119" s="64">
        <v>2</v>
      </c>
      <c r="E119" s="64">
        <f>7.5+6</f>
        <v>13.5</v>
      </c>
      <c r="F119" s="64">
        <v>2</v>
      </c>
      <c r="G119" s="64">
        <f>7.5+6</f>
        <v>13.5</v>
      </c>
      <c r="H119" s="67">
        <v>0</v>
      </c>
      <c r="I119" s="24"/>
      <c r="J119" s="64">
        <v>2</v>
      </c>
      <c r="K119" s="64">
        <f>7.5+6</f>
        <v>13.5</v>
      </c>
      <c r="L119" s="8"/>
      <c r="M119" s="8"/>
      <c r="N119" s="8"/>
      <c r="O119" s="8"/>
      <c r="P119" s="8"/>
      <c r="Q119" s="8"/>
    </row>
    <row r="120" spans="1:17" ht="15" x14ac:dyDescent="0.25">
      <c r="A120" s="18"/>
      <c r="B120" s="53"/>
      <c r="C120" s="50" t="s">
        <v>194</v>
      </c>
      <c r="D120" s="64">
        <v>11</v>
      </c>
      <c r="E120" s="64">
        <v>50</v>
      </c>
      <c r="F120" s="64">
        <v>11</v>
      </c>
      <c r="G120" s="64">
        <v>50</v>
      </c>
      <c r="H120" s="67">
        <v>0</v>
      </c>
      <c r="I120" s="24"/>
      <c r="J120" s="64">
        <v>11</v>
      </c>
      <c r="K120" s="64">
        <v>50</v>
      </c>
      <c r="L120" s="8"/>
      <c r="M120" s="8"/>
      <c r="N120" s="8"/>
      <c r="O120" s="8"/>
      <c r="P120" s="8"/>
      <c r="Q120" s="8"/>
    </row>
    <row r="121" spans="1:17" ht="15" x14ac:dyDescent="0.25">
      <c r="A121" s="18"/>
      <c r="B121" s="53"/>
      <c r="C121" s="50" t="s">
        <v>195</v>
      </c>
      <c r="D121" s="64">
        <v>3</v>
      </c>
      <c r="E121" s="64">
        <f>2.5+5+5</f>
        <v>12.5</v>
      </c>
      <c r="F121" s="64">
        <v>3</v>
      </c>
      <c r="G121" s="64">
        <v>12.5</v>
      </c>
      <c r="H121" s="67">
        <v>0</v>
      </c>
      <c r="I121" s="24"/>
      <c r="J121" s="64">
        <v>3</v>
      </c>
      <c r="K121" s="64">
        <f>2.5+5+5</f>
        <v>12.5</v>
      </c>
      <c r="L121" s="8"/>
      <c r="M121" s="8"/>
      <c r="N121" s="8"/>
      <c r="O121" s="8"/>
      <c r="P121" s="8"/>
      <c r="Q121" s="8"/>
    </row>
    <row r="122" spans="1:17" ht="15" x14ac:dyDescent="0.25">
      <c r="A122" s="18"/>
      <c r="B122" s="53"/>
      <c r="C122" s="50" t="s">
        <v>196</v>
      </c>
      <c r="D122" s="64">
        <v>10</v>
      </c>
      <c r="E122" s="64">
        <f>8+10+1.8+14+8+24</f>
        <v>65.8</v>
      </c>
      <c r="F122" s="64">
        <v>10</v>
      </c>
      <c r="G122" s="64">
        <v>65.8</v>
      </c>
      <c r="H122" s="67">
        <v>0</v>
      </c>
      <c r="I122" s="24"/>
      <c r="J122" s="64">
        <v>10</v>
      </c>
      <c r="K122" s="64">
        <f>8+10+1.8+14+8+24</f>
        <v>65.8</v>
      </c>
      <c r="L122" s="8"/>
      <c r="M122" s="8"/>
      <c r="N122" s="8"/>
      <c r="O122" s="8"/>
      <c r="P122" s="8"/>
      <c r="Q122" s="8"/>
    </row>
    <row r="123" spans="1:17" ht="12.75" customHeight="1" x14ac:dyDescent="0.25">
      <c r="A123" s="18"/>
      <c r="B123" s="53"/>
      <c r="C123" s="50" t="s">
        <v>197</v>
      </c>
      <c r="D123" s="64">
        <v>3</v>
      </c>
      <c r="E123" s="64">
        <f>5+5+5</f>
        <v>15</v>
      </c>
      <c r="F123" s="64">
        <v>3</v>
      </c>
      <c r="G123" s="64">
        <v>15</v>
      </c>
      <c r="H123" s="67">
        <v>0</v>
      </c>
      <c r="I123" s="24"/>
      <c r="J123" s="64">
        <v>3</v>
      </c>
      <c r="K123" s="64">
        <f>5+5+5</f>
        <v>15</v>
      </c>
      <c r="L123" s="8"/>
      <c r="M123" s="8"/>
      <c r="N123" s="8"/>
      <c r="O123" s="8"/>
      <c r="P123" s="8"/>
      <c r="Q123" s="8"/>
    </row>
    <row r="124" spans="1:17" ht="12.75" customHeight="1" x14ac:dyDescent="0.25">
      <c r="A124" s="18"/>
      <c r="B124" s="53"/>
      <c r="C124" s="50" t="s">
        <v>198</v>
      </c>
      <c r="D124" s="64"/>
      <c r="E124" s="64"/>
      <c r="F124" s="64"/>
      <c r="G124" s="64"/>
      <c r="H124" s="67">
        <v>0</v>
      </c>
      <c r="I124" s="24"/>
      <c r="J124" s="31"/>
      <c r="K124" s="31"/>
      <c r="L124" s="8"/>
      <c r="M124" s="8"/>
      <c r="N124" s="8"/>
      <c r="O124" s="8"/>
      <c r="P124" s="8"/>
      <c r="Q124" s="8"/>
    </row>
    <row r="125" spans="1:17" ht="12.75" customHeight="1" x14ac:dyDescent="0.25">
      <c r="A125" s="18"/>
      <c r="B125" s="53"/>
      <c r="C125" s="50" t="s">
        <v>199</v>
      </c>
      <c r="D125" s="64">
        <v>1</v>
      </c>
      <c r="E125" s="64">
        <v>1.8</v>
      </c>
      <c r="F125" s="64">
        <v>1</v>
      </c>
      <c r="G125" s="64">
        <v>1.8</v>
      </c>
      <c r="H125" s="67">
        <v>0</v>
      </c>
      <c r="I125" s="24"/>
      <c r="J125" s="64">
        <v>1</v>
      </c>
      <c r="K125" s="64">
        <v>1.8</v>
      </c>
      <c r="L125" s="8"/>
      <c r="M125" s="8"/>
      <c r="N125" s="8"/>
      <c r="O125" s="8"/>
      <c r="P125" s="8"/>
      <c r="Q125" s="8"/>
    </row>
    <row r="126" spans="1:17" ht="12.75" customHeight="1" x14ac:dyDescent="0.25">
      <c r="A126" s="18"/>
      <c r="B126" s="53"/>
      <c r="C126" s="50" t="s">
        <v>200</v>
      </c>
      <c r="D126" s="64">
        <v>9</v>
      </c>
      <c r="E126" s="64">
        <f>15+14+13+10+6+7</f>
        <v>65</v>
      </c>
      <c r="F126" s="64">
        <v>6</v>
      </c>
      <c r="G126" s="64">
        <v>65</v>
      </c>
      <c r="H126" s="67">
        <v>0</v>
      </c>
      <c r="I126" s="24"/>
      <c r="J126" s="64">
        <v>9</v>
      </c>
      <c r="K126" s="64">
        <f>15+14+13+10+6+7</f>
        <v>65</v>
      </c>
      <c r="L126" s="8"/>
      <c r="M126" s="8"/>
      <c r="N126" s="8"/>
      <c r="O126" s="8"/>
      <c r="P126" s="8"/>
      <c r="Q126" s="8"/>
    </row>
    <row r="127" spans="1:17" ht="12.75" customHeight="1" x14ac:dyDescent="0.25">
      <c r="A127" s="18"/>
      <c r="B127" s="53"/>
      <c r="C127" s="50" t="s">
        <v>201</v>
      </c>
      <c r="D127" s="64">
        <v>7</v>
      </c>
      <c r="E127" s="64">
        <f>3+5+10+10+7+10+5.5</f>
        <v>50.5</v>
      </c>
      <c r="F127" s="64">
        <v>7</v>
      </c>
      <c r="G127" s="64">
        <v>50.5</v>
      </c>
      <c r="H127" s="67">
        <v>0</v>
      </c>
      <c r="I127" s="24"/>
      <c r="J127" s="64">
        <v>7</v>
      </c>
      <c r="K127" s="64">
        <f>3+5+10+10+7+10+5.5</f>
        <v>50.5</v>
      </c>
      <c r="L127" s="8"/>
      <c r="M127" s="8"/>
      <c r="N127" s="8"/>
      <c r="O127" s="8"/>
      <c r="P127" s="8"/>
      <c r="Q127" s="8"/>
    </row>
    <row r="128" spans="1:17" ht="12.75" customHeight="1" x14ac:dyDescent="0.25">
      <c r="A128" s="18"/>
      <c r="B128" s="53"/>
      <c r="C128" s="50" t="s">
        <v>202</v>
      </c>
      <c r="D128" s="64">
        <v>4</v>
      </c>
      <c r="E128" s="64">
        <f>12+7</f>
        <v>19</v>
      </c>
      <c r="F128" s="64">
        <v>2</v>
      </c>
      <c r="G128" s="64">
        <f>12+7</f>
        <v>19</v>
      </c>
      <c r="H128" s="67">
        <v>0</v>
      </c>
      <c r="I128" s="24"/>
      <c r="J128" s="64">
        <v>4</v>
      </c>
      <c r="K128" s="64">
        <f>12+7</f>
        <v>19</v>
      </c>
      <c r="L128" s="8"/>
      <c r="M128" s="8"/>
      <c r="N128" s="8"/>
      <c r="O128" s="8"/>
      <c r="P128" s="8"/>
      <c r="Q128" s="8"/>
    </row>
    <row r="129" spans="1:17" ht="12.75" customHeight="1" x14ac:dyDescent="0.25">
      <c r="A129" s="18"/>
      <c r="B129" s="53"/>
      <c r="C129" s="50" t="s">
        <v>203</v>
      </c>
      <c r="D129" s="64">
        <v>1</v>
      </c>
      <c r="E129" s="64">
        <v>3</v>
      </c>
      <c r="F129" s="64">
        <v>1</v>
      </c>
      <c r="G129" s="64">
        <v>3</v>
      </c>
      <c r="H129" s="67">
        <v>0</v>
      </c>
      <c r="I129" s="24"/>
      <c r="J129" s="64">
        <v>1</v>
      </c>
      <c r="K129" s="64">
        <v>3</v>
      </c>
      <c r="L129" s="8"/>
      <c r="M129" s="8"/>
      <c r="N129" s="8"/>
      <c r="O129" s="8"/>
      <c r="P129" s="8"/>
      <c r="Q129" s="8"/>
    </row>
    <row r="130" spans="1:17" ht="12.75" customHeight="1" x14ac:dyDescent="0.25">
      <c r="A130" s="18"/>
      <c r="B130" s="53"/>
      <c r="C130" s="50" t="s">
        <v>204</v>
      </c>
      <c r="D130" s="64">
        <v>9</v>
      </c>
      <c r="E130" s="64">
        <v>70</v>
      </c>
      <c r="F130" s="64"/>
      <c r="G130" s="64"/>
      <c r="H130" s="67">
        <v>0</v>
      </c>
      <c r="I130" s="24"/>
      <c r="J130" s="64">
        <v>9</v>
      </c>
      <c r="K130" s="64">
        <v>70</v>
      </c>
      <c r="L130" s="8"/>
      <c r="M130" s="8"/>
      <c r="N130" s="8"/>
      <c r="O130" s="8"/>
      <c r="P130" s="8"/>
      <c r="Q130" s="8"/>
    </row>
    <row r="131" spans="1:17" ht="12.75" customHeight="1" x14ac:dyDescent="0.25">
      <c r="A131" s="18"/>
      <c r="B131" s="53"/>
      <c r="C131" s="50" t="s">
        <v>205</v>
      </c>
      <c r="D131" s="64">
        <v>7</v>
      </c>
      <c r="E131" s="64">
        <v>63</v>
      </c>
      <c r="F131" s="64"/>
      <c r="G131" s="64"/>
      <c r="H131" s="67">
        <v>0</v>
      </c>
      <c r="I131" s="24"/>
      <c r="J131" s="64">
        <v>7</v>
      </c>
      <c r="K131" s="64">
        <v>63</v>
      </c>
      <c r="L131" s="8"/>
      <c r="M131" s="8"/>
      <c r="N131" s="8"/>
      <c r="O131" s="8"/>
      <c r="P131" s="8"/>
      <c r="Q131" s="8"/>
    </row>
    <row r="132" spans="1:17" ht="12.75" customHeight="1" x14ac:dyDescent="0.25">
      <c r="A132" s="18"/>
      <c r="B132" s="53"/>
      <c r="C132" s="50" t="s">
        <v>206</v>
      </c>
      <c r="D132" s="64">
        <v>2</v>
      </c>
      <c r="E132" s="64">
        <f>3+10</f>
        <v>13</v>
      </c>
      <c r="F132" s="64">
        <v>2</v>
      </c>
      <c r="G132" s="64">
        <f>3+10</f>
        <v>13</v>
      </c>
      <c r="H132" s="67">
        <v>0</v>
      </c>
      <c r="I132" s="24"/>
      <c r="J132" s="64">
        <v>2</v>
      </c>
      <c r="K132" s="64">
        <f>3+10</f>
        <v>13</v>
      </c>
      <c r="L132" s="8"/>
      <c r="M132" s="8"/>
      <c r="N132" s="8"/>
      <c r="O132" s="8"/>
      <c r="P132" s="8"/>
      <c r="Q132" s="8"/>
    </row>
    <row r="133" spans="1:17" ht="12.75" customHeight="1" x14ac:dyDescent="0.25">
      <c r="A133" s="18"/>
      <c r="B133" s="53"/>
      <c r="C133" s="50" t="s">
        <v>207</v>
      </c>
      <c r="D133" s="64">
        <v>7</v>
      </c>
      <c r="E133" s="64">
        <f>15+3+32</f>
        <v>50</v>
      </c>
      <c r="F133" s="64">
        <v>7</v>
      </c>
      <c r="G133" s="64">
        <v>50</v>
      </c>
      <c r="H133" s="67">
        <v>0</v>
      </c>
      <c r="I133" s="24"/>
      <c r="J133" s="64">
        <v>7</v>
      </c>
      <c r="K133" s="64">
        <f>15+3+32</f>
        <v>50</v>
      </c>
      <c r="L133" s="8"/>
      <c r="M133" s="8"/>
      <c r="N133" s="8"/>
      <c r="O133" s="8"/>
      <c r="P133" s="8"/>
      <c r="Q133" s="8"/>
    </row>
    <row r="134" spans="1:17" ht="12.75" customHeight="1" x14ac:dyDescent="0.25">
      <c r="A134" s="18"/>
      <c r="B134" s="53"/>
      <c r="C134" s="50" t="s">
        <v>186</v>
      </c>
      <c r="D134" s="64"/>
      <c r="E134" s="64"/>
      <c r="F134" s="64"/>
      <c r="G134" s="64"/>
      <c r="H134" s="67">
        <v>0</v>
      </c>
      <c r="I134" s="24"/>
      <c r="J134" s="31"/>
      <c r="K134" s="31"/>
      <c r="L134" s="8"/>
      <c r="M134" s="8"/>
      <c r="N134" s="8"/>
      <c r="O134" s="8"/>
      <c r="P134" s="8"/>
      <c r="Q134" s="8"/>
    </row>
    <row r="135" spans="1:17" ht="12.75" customHeight="1" x14ac:dyDescent="0.25">
      <c r="A135" s="18"/>
      <c r="B135" s="53"/>
      <c r="C135" s="50" t="s">
        <v>208</v>
      </c>
      <c r="D135" s="65">
        <v>3</v>
      </c>
      <c r="E135" s="65">
        <v>32</v>
      </c>
      <c r="F135" s="65"/>
      <c r="G135" s="65"/>
      <c r="H135" s="67">
        <v>0</v>
      </c>
      <c r="I135" s="104"/>
      <c r="J135" s="65">
        <v>3</v>
      </c>
      <c r="K135" s="65">
        <v>32</v>
      </c>
      <c r="L135" s="8"/>
      <c r="M135" s="8"/>
      <c r="N135" s="8"/>
      <c r="O135" s="8"/>
      <c r="P135" s="8"/>
      <c r="Q135" s="8"/>
    </row>
    <row r="136" spans="1:17" ht="12.75" customHeight="1" x14ac:dyDescent="0.25">
      <c r="A136" s="18"/>
      <c r="B136" s="53"/>
      <c r="C136" s="50" t="s">
        <v>209</v>
      </c>
      <c r="D136" s="64">
        <v>3</v>
      </c>
      <c r="E136" s="64">
        <v>25</v>
      </c>
      <c r="F136" s="64"/>
      <c r="G136" s="64"/>
      <c r="H136" s="67">
        <v>0</v>
      </c>
      <c r="I136" s="24"/>
      <c r="J136" s="64">
        <v>3</v>
      </c>
      <c r="K136" s="64">
        <v>25</v>
      </c>
      <c r="L136" s="8"/>
      <c r="M136" s="8"/>
      <c r="N136" s="8"/>
      <c r="O136" s="8"/>
      <c r="P136" s="8"/>
      <c r="Q136" s="8"/>
    </row>
    <row r="137" spans="1:17" ht="12.75" customHeight="1" x14ac:dyDescent="0.25">
      <c r="A137" s="18"/>
      <c r="B137" s="53"/>
      <c r="C137" s="50" t="s">
        <v>210</v>
      </c>
      <c r="D137" s="64">
        <v>2</v>
      </c>
      <c r="E137" s="64">
        <v>20</v>
      </c>
      <c r="F137" s="64"/>
      <c r="G137" s="64"/>
      <c r="H137" s="67">
        <v>0</v>
      </c>
      <c r="I137" s="24"/>
      <c r="J137" s="64">
        <v>2</v>
      </c>
      <c r="K137" s="64">
        <v>20</v>
      </c>
      <c r="L137" s="8"/>
      <c r="M137" s="8"/>
      <c r="N137" s="8"/>
      <c r="O137" s="8"/>
      <c r="P137" s="8"/>
      <c r="Q137" s="8"/>
    </row>
    <row r="138" spans="1:17" ht="12.75" customHeight="1" x14ac:dyDescent="0.25">
      <c r="A138" s="18"/>
      <c r="B138" s="53"/>
      <c r="C138" s="50" t="s">
        <v>211</v>
      </c>
      <c r="D138" s="64"/>
      <c r="E138" s="64"/>
      <c r="F138" s="64"/>
      <c r="G138" s="64"/>
      <c r="H138" s="67">
        <v>0</v>
      </c>
      <c r="I138" s="24"/>
      <c r="J138" s="64"/>
      <c r="K138" s="64"/>
      <c r="L138" s="8"/>
      <c r="M138" s="8"/>
      <c r="N138" s="8"/>
      <c r="O138" s="8"/>
      <c r="P138" s="8"/>
      <c r="Q138" s="8"/>
    </row>
    <row r="139" spans="1:17" ht="12.75" customHeight="1" x14ac:dyDescent="0.25">
      <c r="A139" s="18"/>
      <c r="B139" s="53"/>
      <c r="C139" s="50" t="s">
        <v>212</v>
      </c>
      <c r="D139" s="64">
        <v>11</v>
      </c>
      <c r="E139" s="64">
        <f>8+14+13+3+5+12+5+5+5+13+8</f>
        <v>91</v>
      </c>
      <c r="F139" s="64">
        <v>11</v>
      </c>
      <c r="G139" s="64">
        <v>91</v>
      </c>
      <c r="H139" s="67">
        <v>0</v>
      </c>
      <c r="I139" s="24"/>
      <c r="J139" s="64">
        <v>11</v>
      </c>
      <c r="K139" s="64">
        <f>8+14+13+3+5+12+5+5+5+13+8</f>
        <v>91</v>
      </c>
      <c r="L139" s="8"/>
      <c r="M139" s="8"/>
      <c r="N139" s="8"/>
      <c r="O139" s="8"/>
      <c r="P139" s="8"/>
      <c r="Q139" s="8"/>
    </row>
    <row r="140" spans="1:17" ht="12.75" customHeight="1" x14ac:dyDescent="0.25">
      <c r="A140" s="18"/>
      <c r="B140" s="53"/>
      <c r="C140" s="50" t="s">
        <v>213</v>
      </c>
      <c r="D140" s="64">
        <v>3</v>
      </c>
      <c r="E140" s="64">
        <f>12+3+15</f>
        <v>30</v>
      </c>
      <c r="F140" s="64">
        <v>3</v>
      </c>
      <c r="G140" s="64">
        <v>30</v>
      </c>
      <c r="H140" s="67">
        <v>0</v>
      </c>
      <c r="I140" s="24"/>
      <c r="J140" s="64">
        <v>3</v>
      </c>
      <c r="K140" s="64">
        <f>12+3+15</f>
        <v>30</v>
      </c>
      <c r="L140" s="8"/>
      <c r="M140" s="8"/>
      <c r="N140" s="8"/>
      <c r="O140" s="8"/>
      <c r="P140" s="8"/>
      <c r="Q140" s="8"/>
    </row>
    <row r="141" spans="1:17" ht="12.75" customHeight="1" x14ac:dyDescent="0.25">
      <c r="A141" s="18"/>
      <c r="B141" s="53"/>
      <c r="C141" s="50" t="s">
        <v>214</v>
      </c>
      <c r="D141" s="64"/>
      <c r="E141" s="64"/>
      <c r="F141" s="64"/>
      <c r="G141" s="64"/>
      <c r="H141" s="67">
        <v>0</v>
      </c>
      <c r="I141" s="24"/>
      <c r="J141" s="64"/>
      <c r="K141" s="64"/>
      <c r="L141" s="8"/>
      <c r="M141" s="8"/>
      <c r="N141" s="8"/>
      <c r="O141" s="8"/>
      <c r="P141" s="8"/>
      <c r="Q141" s="8"/>
    </row>
    <row r="142" spans="1:17" ht="12.75" customHeight="1" x14ac:dyDescent="0.25">
      <c r="A142" s="18"/>
      <c r="B142" s="53"/>
      <c r="C142" s="50" t="s">
        <v>215</v>
      </c>
      <c r="D142" s="64">
        <v>3</v>
      </c>
      <c r="E142" s="64">
        <f>14+12+8</f>
        <v>34</v>
      </c>
      <c r="F142" s="64">
        <v>3</v>
      </c>
      <c r="G142" s="64">
        <f>14+12+8</f>
        <v>34</v>
      </c>
      <c r="H142" s="67">
        <v>0</v>
      </c>
      <c r="I142" s="24"/>
      <c r="J142" s="64">
        <v>3</v>
      </c>
      <c r="K142" s="64">
        <f>14+12+8</f>
        <v>34</v>
      </c>
      <c r="L142" s="8"/>
      <c r="M142" s="8"/>
      <c r="N142" s="8"/>
      <c r="O142" s="8"/>
      <c r="P142" s="8"/>
      <c r="Q142" s="8"/>
    </row>
    <row r="143" spans="1:17" ht="12.75" customHeight="1" x14ac:dyDescent="0.25">
      <c r="A143" s="18"/>
      <c r="B143" s="53"/>
      <c r="C143" s="56" t="s">
        <v>216</v>
      </c>
      <c r="D143" s="64">
        <v>1</v>
      </c>
      <c r="E143" s="64">
        <v>12</v>
      </c>
      <c r="F143" s="64">
        <v>1</v>
      </c>
      <c r="G143" s="64">
        <v>12</v>
      </c>
      <c r="H143" s="67">
        <v>0</v>
      </c>
      <c r="I143" s="24"/>
      <c r="J143" s="64">
        <v>1</v>
      </c>
      <c r="K143" s="64">
        <v>12</v>
      </c>
      <c r="L143" s="8"/>
      <c r="M143" s="8"/>
      <c r="N143" s="8"/>
      <c r="O143" s="8"/>
      <c r="P143" s="8"/>
      <c r="Q143" s="8"/>
    </row>
    <row r="144" spans="1:17" ht="12.75" customHeight="1" x14ac:dyDescent="0.25">
      <c r="A144" s="18"/>
      <c r="B144" s="53"/>
      <c r="C144" s="57" t="s">
        <v>217</v>
      </c>
      <c r="D144" s="64">
        <v>23</v>
      </c>
      <c r="E144" s="64">
        <f>82+12.5</f>
        <v>94.5</v>
      </c>
      <c r="F144" s="64">
        <v>21</v>
      </c>
      <c r="G144" s="64">
        <v>82</v>
      </c>
      <c r="H144" s="67">
        <v>0</v>
      </c>
      <c r="I144" s="24"/>
      <c r="J144" s="64">
        <v>23</v>
      </c>
      <c r="K144" s="64">
        <f>82+12.5</f>
        <v>94.5</v>
      </c>
      <c r="L144" s="8"/>
      <c r="M144" s="8"/>
      <c r="N144" s="8"/>
      <c r="O144" s="8"/>
      <c r="P144" s="8"/>
      <c r="Q144" s="8"/>
    </row>
    <row r="145" spans="1:17" ht="12.75" customHeight="1" x14ac:dyDescent="0.25">
      <c r="A145" s="18"/>
      <c r="B145" s="53"/>
      <c r="C145" s="50" t="s">
        <v>218</v>
      </c>
      <c r="D145" s="64">
        <v>4</v>
      </c>
      <c r="E145" s="64">
        <f>5+6+4+8</f>
        <v>23</v>
      </c>
      <c r="F145" s="64">
        <v>4</v>
      </c>
      <c r="G145" s="64">
        <v>23</v>
      </c>
      <c r="H145" s="67">
        <v>0</v>
      </c>
      <c r="I145" s="24"/>
      <c r="J145" s="64">
        <v>4</v>
      </c>
      <c r="K145" s="64">
        <f>5+6+4+8</f>
        <v>23</v>
      </c>
      <c r="L145" s="8"/>
      <c r="M145" s="8"/>
      <c r="N145" s="8"/>
      <c r="O145" s="8"/>
      <c r="P145" s="8"/>
      <c r="Q145" s="8"/>
    </row>
    <row r="146" spans="1:17" ht="12.75" customHeight="1" x14ac:dyDescent="0.25">
      <c r="A146" s="18"/>
      <c r="B146" s="53"/>
      <c r="C146" s="50" t="s">
        <v>219</v>
      </c>
      <c r="D146" s="64">
        <v>3</v>
      </c>
      <c r="E146" s="64">
        <f>3+3+2.5</f>
        <v>8.5</v>
      </c>
      <c r="F146" s="64">
        <v>3</v>
      </c>
      <c r="G146" s="64">
        <v>8.5</v>
      </c>
      <c r="H146" s="67">
        <v>0</v>
      </c>
      <c r="I146" s="24"/>
      <c r="J146" s="64">
        <v>3</v>
      </c>
      <c r="K146" s="64">
        <f>3+3+2.5</f>
        <v>8.5</v>
      </c>
      <c r="L146" s="8"/>
      <c r="M146" s="8"/>
      <c r="N146" s="8"/>
      <c r="O146" s="8"/>
      <c r="P146" s="8"/>
      <c r="Q146" s="8"/>
    </row>
    <row r="147" spans="1:17" ht="12.75" customHeight="1" x14ac:dyDescent="0.25">
      <c r="A147" s="18"/>
      <c r="B147" s="53"/>
      <c r="C147" s="50" t="s">
        <v>220</v>
      </c>
      <c r="D147" s="65">
        <v>11</v>
      </c>
      <c r="E147" s="65">
        <f>14.5+5+13+10+5+10+4+13+15+5+8</f>
        <v>102.5</v>
      </c>
      <c r="F147" s="65">
        <v>11</v>
      </c>
      <c r="G147" s="65">
        <v>102.5</v>
      </c>
      <c r="H147" s="67">
        <v>0</v>
      </c>
      <c r="I147" s="104"/>
      <c r="J147" s="65">
        <v>11</v>
      </c>
      <c r="K147" s="65">
        <f>14.5+5+13+10+5+10+4+13+15+5+8</f>
        <v>102.5</v>
      </c>
      <c r="L147" s="8"/>
      <c r="M147" s="8"/>
      <c r="N147" s="8"/>
      <c r="O147" s="8"/>
      <c r="P147" s="8"/>
      <c r="Q147" s="8"/>
    </row>
    <row r="148" spans="1:17" ht="12.75" customHeight="1" x14ac:dyDescent="0.25">
      <c r="A148" s="18"/>
      <c r="B148" s="53"/>
      <c r="C148" s="50" t="s">
        <v>221</v>
      </c>
      <c r="D148" s="64">
        <v>1</v>
      </c>
      <c r="E148" s="64">
        <v>3</v>
      </c>
      <c r="F148" s="64">
        <v>1</v>
      </c>
      <c r="G148" s="64">
        <v>3</v>
      </c>
      <c r="H148" s="67">
        <v>0</v>
      </c>
      <c r="I148" s="24"/>
      <c r="J148" s="64">
        <v>1</v>
      </c>
      <c r="K148" s="64">
        <v>3</v>
      </c>
      <c r="L148" s="8"/>
      <c r="M148" s="8"/>
      <c r="N148" s="8"/>
      <c r="O148" s="8"/>
      <c r="P148" s="8"/>
      <c r="Q148" s="8"/>
    </row>
    <row r="149" spans="1:17" ht="12.75" customHeight="1" x14ac:dyDescent="0.25">
      <c r="A149" s="18"/>
      <c r="B149" s="53"/>
      <c r="C149" s="50" t="s">
        <v>222</v>
      </c>
      <c r="D149" s="64">
        <v>4</v>
      </c>
      <c r="E149" s="64">
        <v>20</v>
      </c>
      <c r="F149" s="64">
        <v>4</v>
      </c>
      <c r="G149" s="64">
        <v>20</v>
      </c>
      <c r="H149" s="67">
        <v>0</v>
      </c>
      <c r="I149" s="24"/>
      <c r="J149" s="64">
        <v>4</v>
      </c>
      <c r="K149" s="64">
        <v>20</v>
      </c>
      <c r="L149" s="8"/>
      <c r="M149" s="8"/>
      <c r="N149" s="8"/>
      <c r="O149" s="8"/>
      <c r="P149" s="8"/>
      <c r="Q149" s="8"/>
    </row>
    <row r="150" spans="1:17" ht="18.75" customHeight="1" x14ac:dyDescent="0.2">
      <c r="A150" s="18"/>
      <c r="B150" s="53"/>
      <c r="C150" s="19" t="s">
        <v>30</v>
      </c>
      <c r="D150" s="64">
        <f>SUM(D101:D149)</f>
        <v>469</v>
      </c>
      <c r="E150" s="64">
        <f t="shared" ref="E150:Q150" si="2">SUM(E101:E149)</f>
        <v>4182.9000000000005</v>
      </c>
      <c r="F150" s="64">
        <f t="shared" si="2"/>
        <v>350</v>
      </c>
      <c r="G150" s="64">
        <f t="shared" si="2"/>
        <v>2736.9000000000005</v>
      </c>
      <c r="H150" s="64">
        <f t="shared" si="2"/>
        <v>0</v>
      </c>
      <c r="I150" s="64">
        <f t="shared" si="2"/>
        <v>0</v>
      </c>
      <c r="J150" s="64">
        <f t="shared" si="2"/>
        <v>466</v>
      </c>
      <c r="K150" s="64">
        <f t="shared" si="2"/>
        <v>3938.9000000000005</v>
      </c>
      <c r="L150" s="64">
        <f t="shared" si="2"/>
        <v>0</v>
      </c>
      <c r="M150" s="64">
        <f t="shared" si="2"/>
        <v>0</v>
      </c>
      <c r="N150" s="64">
        <f t="shared" si="2"/>
        <v>0</v>
      </c>
      <c r="O150" s="64">
        <f t="shared" si="2"/>
        <v>0</v>
      </c>
      <c r="P150" s="64">
        <f t="shared" si="2"/>
        <v>0</v>
      </c>
      <c r="Q150" s="64">
        <f t="shared" si="2"/>
        <v>0</v>
      </c>
    </row>
    <row r="151" spans="1:17" ht="15" x14ac:dyDescent="0.25">
      <c r="A151" s="18"/>
      <c r="B151" s="18"/>
      <c r="C151" s="105" t="s">
        <v>250</v>
      </c>
      <c r="D151" s="31"/>
      <c r="E151" s="31"/>
      <c r="F151" s="31"/>
      <c r="G151" s="31"/>
      <c r="H151" s="67">
        <v>0</v>
      </c>
      <c r="I151" s="24"/>
      <c r="J151" s="31"/>
      <c r="K151" s="31"/>
      <c r="L151" s="8"/>
      <c r="M151" s="8"/>
      <c r="N151" s="8"/>
      <c r="O151" s="8"/>
      <c r="P151" s="8"/>
      <c r="Q151" s="8"/>
    </row>
    <row r="152" spans="1:17" ht="12.75" customHeight="1" x14ac:dyDescent="0.25">
      <c r="A152" s="18"/>
      <c r="B152" s="18"/>
      <c r="C152" s="18" t="s">
        <v>224</v>
      </c>
      <c r="D152" s="31">
        <v>78</v>
      </c>
      <c r="E152" s="31">
        <v>445</v>
      </c>
      <c r="F152" s="31">
        <v>52</v>
      </c>
      <c r="G152" s="31">
        <v>320</v>
      </c>
      <c r="H152" s="67">
        <v>0</v>
      </c>
      <c r="I152" s="24"/>
      <c r="J152" s="31">
        <v>35</v>
      </c>
      <c r="K152" s="31">
        <v>186</v>
      </c>
      <c r="L152" s="8"/>
      <c r="M152" s="8"/>
      <c r="N152" s="8"/>
      <c r="O152" s="8"/>
      <c r="P152" s="8"/>
      <c r="Q152" s="8"/>
    </row>
    <row r="153" spans="1:17" ht="12.75" customHeight="1" x14ac:dyDescent="0.25">
      <c r="A153" s="18"/>
      <c r="B153" s="18"/>
      <c r="C153" s="18" t="s">
        <v>225</v>
      </c>
      <c r="D153" s="31">
        <v>47</v>
      </c>
      <c r="E153" s="31">
        <v>190</v>
      </c>
      <c r="F153" s="31">
        <v>30</v>
      </c>
      <c r="G153" s="31">
        <v>86</v>
      </c>
      <c r="H153" s="67">
        <v>0</v>
      </c>
      <c r="I153" s="24"/>
      <c r="J153" s="31">
        <v>20</v>
      </c>
      <c r="K153" s="31">
        <v>87</v>
      </c>
      <c r="L153" s="8"/>
      <c r="M153" s="8"/>
      <c r="N153" s="8"/>
      <c r="O153" s="8"/>
      <c r="P153" s="8"/>
      <c r="Q153" s="8"/>
    </row>
    <row r="154" spans="1:17" ht="12.75" customHeight="1" x14ac:dyDescent="0.25">
      <c r="A154" s="18"/>
      <c r="B154" s="18"/>
      <c r="C154" s="18" t="s">
        <v>346</v>
      </c>
      <c r="D154" s="31">
        <v>7</v>
      </c>
      <c r="E154" s="31">
        <v>20</v>
      </c>
      <c r="F154" s="31"/>
      <c r="G154" s="31"/>
      <c r="H154" s="67">
        <v>0</v>
      </c>
      <c r="I154" s="24"/>
      <c r="J154" s="31">
        <v>7</v>
      </c>
      <c r="K154" s="31">
        <v>20</v>
      </c>
      <c r="L154" s="8"/>
      <c r="M154" s="8"/>
      <c r="N154" s="8"/>
      <c r="O154" s="8"/>
      <c r="P154" s="8"/>
      <c r="Q154" s="8"/>
    </row>
    <row r="155" spans="1:17" ht="12.75" customHeight="1" x14ac:dyDescent="0.25">
      <c r="A155" s="18"/>
      <c r="B155" s="18"/>
      <c r="C155" s="18" t="s">
        <v>226</v>
      </c>
      <c r="D155" s="31">
        <v>1</v>
      </c>
      <c r="E155" s="31">
        <v>15</v>
      </c>
      <c r="F155" s="31">
        <v>1</v>
      </c>
      <c r="G155" s="31">
        <v>15</v>
      </c>
      <c r="H155" s="67">
        <v>0</v>
      </c>
      <c r="I155" s="24"/>
      <c r="J155" s="31">
        <v>1</v>
      </c>
      <c r="K155" s="31">
        <v>6</v>
      </c>
      <c r="L155" s="8"/>
      <c r="M155" s="8"/>
      <c r="N155" s="8"/>
      <c r="O155" s="8"/>
      <c r="P155" s="8"/>
      <c r="Q155" s="8"/>
    </row>
    <row r="156" spans="1:17" ht="12.75" customHeight="1" x14ac:dyDescent="0.25">
      <c r="A156" s="18"/>
      <c r="B156" s="18"/>
      <c r="C156" s="18" t="s">
        <v>227</v>
      </c>
      <c r="D156" s="31">
        <v>15</v>
      </c>
      <c r="E156" s="31">
        <v>84</v>
      </c>
      <c r="F156" s="31"/>
      <c r="G156" s="31"/>
      <c r="H156" s="67">
        <v>0</v>
      </c>
      <c r="I156" s="24"/>
      <c r="J156" s="31">
        <v>15</v>
      </c>
      <c r="K156" s="31">
        <v>84</v>
      </c>
      <c r="L156" s="8"/>
      <c r="M156" s="8"/>
      <c r="N156" s="8"/>
      <c r="O156" s="8"/>
      <c r="P156" s="8"/>
      <c r="Q156" s="8"/>
    </row>
    <row r="157" spans="1:17" ht="12.75" customHeight="1" x14ac:dyDescent="0.25">
      <c r="A157" s="18"/>
      <c r="B157" s="18"/>
      <c r="C157" s="18" t="s">
        <v>228</v>
      </c>
      <c r="D157" s="31">
        <v>1</v>
      </c>
      <c r="E157" s="31">
        <v>15</v>
      </c>
      <c r="F157" s="31">
        <v>1</v>
      </c>
      <c r="G157" s="31">
        <v>15</v>
      </c>
      <c r="H157" s="67">
        <v>0</v>
      </c>
      <c r="I157" s="24"/>
      <c r="J157" s="31">
        <v>3</v>
      </c>
      <c r="K157" s="31">
        <v>18</v>
      </c>
      <c r="L157" s="8"/>
      <c r="M157" s="8"/>
      <c r="N157" s="8"/>
      <c r="O157" s="8"/>
      <c r="P157" s="8"/>
      <c r="Q157" s="8"/>
    </row>
    <row r="158" spans="1:17" ht="12.75" customHeight="1" x14ac:dyDescent="0.25">
      <c r="A158" s="18"/>
      <c r="B158" s="18"/>
      <c r="C158" s="18" t="s">
        <v>229</v>
      </c>
      <c r="D158" s="104">
        <v>25</v>
      </c>
      <c r="E158" s="104">
        <v>168</v>
      </c>
      <c r="F158" s="104"/>
      <c r="G158" s="104"/>
      <c r="H158" s="67">
        <v>0</v>
      </c>
      <c r="I158" s="104"/>
      <c r="J158" s="109">
        <v>25</v>
      </c>
      <c r="K158" s="109">
        <v>168</v>
      </c>
      <c r="L158" s="8"/>
      <c r="M158" s="8"/>
      <c r="N158" s="8"/>
      <c r="O158" s="8"/>
      <c r="P158" s="8"/>
      <c r="Q158" s="8"/>
    </row>
    <row r="159" spans="1:17" ht="12.75" customHeight="1" x14ac:dyDescent="0.25">
      <c r="A159" s="18"/>
      <c r="B159" s="18"/>
      <c r="C159" s="18" t="s">
        <v>230</v>
      </c>
      <c r="D159" s="31">
        <v>2</v>
      </c>
      <c r="E159" s="31">
        <v>7</v>
      </c>
      <c r="F159" s="31"/>
      <c r="G159" s="31"/>
      <c r="H159" s="67">
        <v>0</v>
      </c>
      <c r="I159" s="24"/>
      <c r="J159" s="31">
        <v>2</v>
      </c>
      <c r="K159" s="31">
        <v>7</v>
      </c>
      <c r="L159" s="8"/>
      <c r="M159" s="8"/>
      <c r="N159" s="8"/>
      <c r="O159" s="8"/>
      <c r="P159" s="8"/>
      <c r="Q159" s="8"/>
    </row>
    <row r="160" spans="1:17" ht="12.75" customHeight="1" x14ac:dyDescent="0.25">
      <c r="A160" s="18"/>
      <c r="B160" s="18"/>
      <c r="C160" s="18" t="s">
        <v>231</v>
      </c>
      <c r="D160" s="31"/>
      <c r="E160" s="31"/>
      <c r="F160" s="31"/>
      <c r="G160" s="31"/>
      <c r="H160" s="67">
        <v>0</v>
      </c>
      <c r="I160" s="24"/>
      <c r="J160" s="31"/>
      <c r="K160" s="31"/>
      <c r="L160" s="8"/>
      <c r="M160" s="8"/>
      <c r="N160" s="8"/>
      <c r="O160" s="8"/>
      <c r="P160" s="8"/>
      <c r="Q160" s="8"/>
    </row>
    <row r="161" spans="1:17" ht="12.75" customHeight="1" x14ac:dyDescent="0.25">
      <c r="A161" s="18"/>
      <c r="B161" s="18"/>
      <c r="C161" s="18" t="s">
        <v>232</v>
      </c>
      <c r="D161" s="31">
        <v>15</v>
      </c>
      <c r="E161" s="31">
        <v>167</v>
      </c>
      <c r="F161" s="31"/>
      <c r="G161" s="31"/>
      <c r="H161" s="67">
        <v>0</v>
      </c>
      <c r="I161" s="24"/>
      <c r="J161" s="31">
        <v>8</v>
      </c>
      <c r="K161" s="31">
        <v>36</v>
      </c>
      <c r="L161" s="8"/>
      <c r="M161" s="8"/>
      <c r="N161" s="8"/>
      <c r="O161" s="8"/>
      <c r="P161" s="8"/>
      <c r="Q161" s="8"/>
    </row>
    <row r="162" spans="1:17" ht="12.75" customHeight="1" x14ac:dyDescent="0.25">
      <c r="A162" s="18"/>
      <c r="B162" s="18"/>
      <c r="C162" s="18" t="s">
        <v>233</v>
      </c>
      <c r="D162" s="31"/>
      <c r="E162" s="31"/>
      <c r="F162" s="31"/>
      <c r="G162" s="31"/>
      <c r="H162" s="67">
        <v>0</v>
      </c>
      <c r="I162" s="24"/>
      <c r="J162" s="31"/>
      <c r="K162" s="31"/>
      <c r="L162" s="8"/>
      <c r="M162" s="8"/>
      <c r="N162" s="8"/>
      <c r="O162" s="8"/>
      <c r="P162" s="8"/>
      <c r="Q162" s="8"/>
    </row>
    <row r="163" spans="1:17" ht="12.75" customHeight="1" x14ac:dyDescent="0.25">
      <c r="A163" s="18"/>
      <c r="B163" s="18"/>
      <c r="C163" s="18" t="s">
        <v>234</v>
      </c>
      <c r="D163" s="31">
        <v>1</v>
      </c>
      <c r="E163" s="31">
        <v>5</v>
      </c>
      <c r="F163" s="31">
        <v>1</v>
      </c>
      <c r="G163" s="31">
        <v>5</v>
      </c>
      <c r="H163" s="67">
        <v>0</v>
      </c>
      <c r="I163" s="24"/>
      <c r="J163" s="31">
        <v>8</v>
      </c>
      <c r="K163" s="31">
        <v>48</v>
      </c>
      <c r="L163" s="8"/>
      <c r="M163" s="8"/>
      <c r="N163" s="8"/>
      <c r="O163" s="8"/>
      <c r="P163" s="8"/>
      <c r="Q163" s="8"/>
    </row>
    <row r="164" spans="1:17" ht="12.75" customHeight="1" x14ac:dyDescent="0.25">
      <c r="A164" s="18"/>
      <c r="B164" s="18"/>
      <c r="C164" s="18" t="s">
        <v>235</v>
      </c>
      <c r="D164" s="31">
        <v>2</v>
      </c>
      <c r="E164" s="31">
        <v>11</v>
      </c>
      <c r="F164" s="31">
        <v>1</v>
      </c>
      <c r="G164" s="31">
        <v>11</v>
      </c>
      <c r="H164" s="67">
        <v>0</v>
      </c>
      <c r="I164" s="24"/>
      <c r="J164" s="31">
        <v>2</v>
      </c>
      <c r="K164" s="31">
        <v>11</v>
      </c>
      <c r="L164" s="8"/>
      <c r="M164" s="8"/>
      <c r="N164" s="8"/>
      <c r="O164" s="8"/>
      <c r="P164" s="8"/>
      <c r="Q164" s="8"/>
    </row>
    <row r="165" spans="1:17" ht="12.75" customHeight="1" x14ac:dyDescent="0.25">
      <c r="A165" s="18"/>
      <c r="B165" s="18"/>
      <c r="C165" s="18" t="s">
        <v>347</v>
      </c>
      <c r="D165" s="31">
        <v>8</v>
      </c>
      <c r="E165" s="31">
        <v>65</v>
      </c>
      <c r="F165" s="31"/>
      <c r="G165" s="31"/>
      <c r="H165" s="67">
        <v>0</v>
      </c>
      <c r="I165" s="24"/>
      <c r="J165" s="31">
        <v>8</v>
      </c>
      <c r="K165" s="31">
        <v>65</v>
      </c>
      <c r="L165" s="8"/>
      <c r="M165" s="8"/>
      <c r="N165" s="8"/>
      <c r="O165" s="8"/>
      <c r="P165" s="8"/>
      <c r="Q165" s="8"/>
    </row>
    <row r="166" spans="1:17" ht="12.75" customHeight="1" x14ac:dyDescent="0.25">
      <c r="A166" s="18"/>
      <c r="B166" s="18"/>
      <c r="C166" s="18" t="s">
        <v>236</v>
      </c>
      <c r="D166" s="31">
        <v>16</v>
      </c>
      <c r="E166" s="31">
        <v>85</v>
      </c>
      <c r="F166" s="31">
        <v>16</v>
      </c>
      <c r="G166" s="31">
        <v>85</v>
      </c>
      <c r="H166" s="67">
        <v>0</v>
      </c>
      <c r="I166" s="24"/>
      <c r="J166" s="31">
        <v>15</v>
      </c>
      <c r="K166" s="31">
        <v>49</v>
      </c>
      <c r="L166" s="8"/>
      <c r="M166" s="8"/>
      <c r="N166" s="8"/>
      <c r="O166" s="8"/>
      <c r="P166" s="8"/>
      <c r="Q166" s="8"/>
    </row>
    <row r="167" spans="1:17" ht="12.75" customHeight="1" x14ac:dyDescent="0.25">
      <c r="A167" s="18"/>
      <c r="B167" s="18"/>
      <c r="C167" s="18" t="s">
        <v>237</v>
      </c>
      <c r="D167" s="31">
        <v>4</v>
      </c>
      <c r="E167" s="31">
        <f>6+10+8+10</f>
        <v>34</v>
      </c>
      <c r="F167" s="31">
        <v>4</v>
      </c>
      <c r="G167" s="31">
        <v>34</v>
      </c>
      <c r="H167" s="67">
        <v>0</v>
      </c>
      <c r="I167" s="24"/>
      <c r="J167" s="31">
        <v>6</v>
      </c>
      <c r="K167" s="31">
        <v>40</v>
      </c>
      <c r="L167" s="8"/>
      <c r="M167" s="8"/>
      <c r="N167" s="8"/>
      <c r="O167" s="8"/>
      <c r="P167" s="8"/>
      <c r="Q167" s="8"/>
    </row>
    <row r="168" spans="1:17" ht="12.75" customHeight="1" x14ac:dyDescent="0.25">
      <c r="A168" s="18"/>
      <c r="B168" s="18"/>
      <c r="C168" s="18" t="s">
        <v>238</v>
      </c>
      <c r="D168" s="31">
        <v>5</v>
      </c>
      <c r="E168" s="31">
        <v>24</v>
      </c>
      <c r="F168" s="31"/>
      <c r="G168" s="31"/>
      <c r="H168" s="67">
        <v>0</v>
      </c>
      <c r="I168" s="24"/>
      <c r="J168" s="31">
        <v>4</v>
      </c>
      <c r="K168" s="31">
        <v>15</v>
      </c>
      <c r="L168" s="8"/>
      <c r="M168" s="8"/>
      <c r="N168" s="8"/>
      <c r="O168" s="8"/>
      <c r="P168" s="8"/>
      <c r="Q168" s="8"/>
    </row>
    <row r="169" spans="1:17" ht="12.75" customHeight="1" x14ac:dyDescent="0.25">
      <c r="A169" s="18"/>
      <c r="B169" s="18"/>
      <c r="C169" s="18" t="s">
        <v>239</v>
      </c>
      <c r="D169" s="31">
        <v>2</v>
      </c>
      <c r="E169" s="31">
        <f>10+6</f>
        <v>16</v>
      </c>
      <c r="F169" s="31">
        <v>2</v>
      </c>
      <c r="G169" s="31">
        <v>16</v>
      </c>
      <c r="H169" s="67">
        <v>0</v>
      </c>
      <c r="I169" s="24"/>
      <c r="J169" s="31">
        <v>2</v>
      </c>
      <c r="K169" s="31">
        <f>10+6</f>
        <v>16</v>
      </c>
      <c r="L169" s="8"/>
      <c r="M169" s="8"/>
      <c r="N169" s="8"/>
      <c r="O169" s="8"/>
      <c r="P169" s="8"/>
      <c r="Q169" s="8"/>
    </row>
    <row r="170" spans="1:17" ht="12.75" customHeight="1" x14ac:dyDescent="0.25">
      <c r="A170" s="18"/>
      <c r="B170" s="18"/>
      <c r="C170" s="18" t="s">
        <v>240</v>
      </c>
      <c r="D170" s="104">
        <v>18</v>
      </c>
      <c r="E170" s="104">
        <v>120</v>
      </c>
      <c r="F170" s="104"/>
      <c r="G170" s="104"/>
      <c r="H170" s="67">
        <v>0</v>
      </c>
      <c r="I170" s="104"/>
      <c r="J170" s="109">
        <v>18</v>
      </c>
      <c r="K170" s="109">
        <v>120</v>
      </c>
      <c r="L170" s="8"/>
      <c r="M170" s="8"/>
      <c r="N170" s="8"/>
      <c r="O170" s="8"/>
      <c r="P170" s="8"/>
      <c r="Q170" s="8"/>
    </row>
    <row r="171" spans="1:17" ht="12.75" customHeight="1" x14ac:dyDescent="0.25">
      <c r="A171" s="18"/>
      <c r="B171" s="18"/>
      <c r="C171" s="18" t="s">
        <v>241</v>
      </c>
      <c r="D171" s="31">
        <v>10</v>
      </c>
      <c r="E171" s="31">
        <f>5+5+5+3+3+3+15+5+5+5</f>
        <v>54</v>
      </c>
      <c r="F171" s="31">
        <v>10</v>
      </c>
      <c r="G171" s="31">
        <v>54</v>
      </c>
      <c r="H171" s="67">
        <v>0</v>
      </c>
      <c r="I171" s="104"/>
      <c r="J171" s="31">
        <v>11</v>
      </c>
      <c r="K171" s="31">
        <v>66</v>
      </c>
      <c r="L171" s="8"/>
      <c r="M171" s="8"/>
      <c r="N171" s="8"/>
      <c r="O171" s="8"/>
      <c r="P171" s="8"/>
      <c r="Q171" s="8"/>
    </row>
    <row r="172" spans="1:17" ht="12.75" customHeight="1" x14ac:dyDescent="0.25">
      <c r="A172" s="18"/>
      <c r="B172" s="18"/>
      <c r="C172" s="18" t="s">
        <v>242</v>
      </c>
      <c r="D172" s="31">
        <v>6</v>
      </c>
      <c r="E172" s="31">
        <v>60</v>
      </c>
      <c r="F172" s="31"/>
      <c r="G172" s="31"/>
      <c r="H172" s="67">
        <v>0</v>
      </c>
      <c r="I172" s="104"/>
      <c r="J172" s="31">
        <v>6</v>
      </c>
      <c r="K172" s="31">
        <v>60</v>
      </c>
      <c r="L172" s="8"/>
      <c r="M172" s="8"/>
      <c r="N172" s="8"/>
      <c r="O172" s="8"/>
      <c r="P172" s="8"/>
      <c r="Q172" s="8"/>
    </row>
    <row r="173" spans="1:17" ht="12.75" customHeight="1" x14ac:dyDescent="0.25">
      <c r="A173" s="18"/>
      <c r="B173" s="18"/>
      <c r="C173" s="18" t="s">
        <v>348</v>
      </c>
      <c r="D173" s="31">
        <v>5</v>
      </c>
      <c r="E173" s="31">
        <v>20</v>
      </c>
      <c r="F173" s="31"/>
      <c r="G173" s="31"/>
      <c r="H173" s="67">
        <v>0</v>
      </c>
      <c r="I173" s="104"/>
      <c r="J173" s="31">
        <v>5</v>
      </c>
      <c r="K173" s="31">
        <v>20</v>
      </c>
      <c r="L173" s="8"/>
      <c r="M173" s="8"/>
      <c r="N173" s="8"/>
      <c r="O173" s="8"/>
      <c r="P173" s="8"/>
      <c r="Q173" s="8"/>
    </row>
    <row r="174" spans="1:17" ht="12.75" customHeight="1" x14ac:dyDescent="0.25">
      <c r="A174" s="18"/>
      <c r="B174" s="18"/>
      <c r="C174" s="18" t="s">
        <v>243</v>
      </c>
      <c r="D174" s="31"/>
      <c r="E174" s="31"/>
      <c r="F174" s="31"/>
      <c r="G174" s="31"/>
      <c r="H174" s="67">
        <v>0</v>
      </c>
      <c r="I174" s="104"/>
      <c r="J174" s="31"/>
      <c r="K174" s="31"/>
      <c r="L174" s="8"/>
      <c r="M174" s="8"/>
      <c r="N174" s="8"/>
      <c r="O174" s="8"/>
      <c r="P174" s="8"/>
      <c r="Q174" s="8"/>
    </row>
    <row r="175" spans="1:17" ht="12.75" customHeight="1" x14ac:dyDescent="0.25">
      <c r="A175" s="18"/>
      <c r="B175" s="18"/>
      <c r="C175" s="18" t="s">
        <v>349</v>
      </c>
      <c r="D175" s="31">
        <v>19</v>
      </c>
      <c r="E175" s="31">
        <f>15+10+15+15+10+15+10+15+10+10+48</f>
        <v>173</v>
      </c>
      <c r="F175" s="31">
        <v>10</v>
      </c>
      <c r="G175" s="31">
        <v>78</v>
      </c>
      <c r="H175" s="67">
        <v>0</v>
      </c>
      <c r="I175" s="104"/>
      <c r="J175" s="31">
        <v>15</v>
      </c>
      <c r="K175" s="31">
        <v>140</v>
      </c>
      <c r="L175" s="8"/>
      <c r="M175" s="8"/>
      <c r="N175" s="8"/>
      <c r="O175" s="8"/>
      <c r="P175" s="8"/>
      <c r="Q175" s="8"/>
    </row>
    <row r="176" spans="1:17" ht="12.75" customHeight="1" x14ac:dyDescent="0.25">
      <c r="A176" s="18"/>
      <c r="B176" s="18"/>
      <c r="C176" s="18" t="s">
        <v>244</v>
      </c>
      <c r="D176" s="31">
        <v>2</v>
      </c>
      <c r="E176" s="31">
        <f>8+7</f>
        <v>15</v>
      </c>
      <c r="F176" s="31">
        <v>2</v>
      </c>
      <c r="G176" s="31">
        <v>15</v>
      </c>
      <c r="H176" s="67">
        <v>0</v>
      </c>
      <c r="I176" s="104"/>
      <c r="J176" s="31">
        <v>2</v>
      </c>
      <c r="K176" s="31">
        <v>8</v>
      </c>
      <c r="L176" s="8"/>
      <c r="M176" s="8"/>
      <c r="N176" s="8"/>
      <c r="O176" s="8"/>
      <c r="P176" s="8"/>
      <c r="Q176" s="8"/>
    </row>
    <row r="177" spans="1:17" ht="12.75" customHeight="1" x14ac:dyDescent="0.25">
      <c r="A177" s="18"/>
      <c r="B177" s="18"/>
      <c r="C177" s="18" t="s">
        <v>245</v>
      </c>
      <c r="D177" s="31">
        <v>2</v>
      </c>
      <c r="E177" s="31">
        <v>30</v>
      </c>
      <c r="F177" s="31">
        <v>2</v>
      </c>
      <c r="G177" s="31">
        <v>30</v>
      </c>
      <c r="H177" s="67">
        <v>0</v>
      </c>
      <c r="I177" s="104"/>
      <c r="J177" s="31">
        <v>2</v>
      </c>
      <c r="K177" s="31">
        <v>30</v>
      </c>
      <c r="L177" s="8"/>
      <c r="M177" s="8"/>
      <c r="N177" s="8"/>
      <c r="O177" s="8"/>
      <c r="P177" s="8"/>
      <c r="Q177" s="8"/>
    </row>
    <row r="178" spans="1:17" ht="12.75" customHeight="1" x14ac:dyDescent="0.25">
      <c r="A178" s="18"/>
      <c r="B178" s="18"/>
      <c r="C178" s="18" t="s">
        <v>246</v>
      </c>
      <c r="D178" s="31">
        <v>1</v>
      </c>
      <c r="E178" s="31">
        <v>12</v>
      </c>
      <c r="F178" s="31">
        <v>1</v>
      </c>
      <c r="G178" s="31">
        <v>12</v>
      </c>
      <c r="H178" s="67">
        <v>0</v>
      </c>
      <c r="I178" s="104"/>
      <c r="J178" s="31">
        <v>1</v>
      </c>
      <c r="K178" s="31">
        <v>12</v>
      </c>
      <c r="L178" s="8"/>
      <c r="M178" s="8"/>
      <c r="N178" s="8"/>
      <c r="O178" s="8"/>
      <c r="P178" s="8"/>
      <c r="Q178" s="8"/>
    </row>
    <row r="179" spans="1:17" ht="12.75" customHeight="1" x14ac:dyDescent="0.25">
      <c r="A179" s="18"/>
      <c r="B179" s="18"/>
      <c r="C179" s="18" t="s">
        <v>247</v>
      </c>
      <c r="D179" s="31">
        <v>9</v>
      </c>
      <c r="E179" s="31">
        <f>15+12+9+26</f>
        <v>62</v>
      </c>
      <c r="F179" s="31">
        <v>9</v>
      </c>
      <c r="G179" s="31">
        <v>62</v>
      </c>
      <c r="H179" s="67">
        <v>0</v>
      </c>
      <c r="I179" s="104"/>
      <c r="J179" s="31">
        <v>3</v>
      </c>
      <c r="K179" s="31">
        <v>15</v>
      </c>
      <c r="L179" s="8"/>
      <c r="M179" s="8"/>
      <c r="N179" s="8"/>
      <c r="O179" s="8"/>
      <c r="P179" s="8"/>
      <c r="Q179" s="8"/>
    </row>
    <row r="180" spans="1:17" ht="12.75" customHeight="1" x14ac:dyDescent="0.25">
      <c r="A180" s="18"/>
      <c r="B180" s="18"/>
      <c r="C180" s="18" t="s">
        <v>249</v>
      </c>
      <c r="D180" s="31"/>
      <c r="E180" s="31"/>
      <c r="F180" s="31"/>
      <c r="G180" s="31"/>
      <c r="H180" s="67">
        <v>0</v>
      </c>
      <c r="I180" s="104"/>
      <c r="J180" s="31"/>
      <c r="K180" s="31"/>
      <c r="L180" s="8"/>
      <c r="M180" s="8"/>
      <c r="N180" s="8"/>
      <c r="O180" s="8"/>
      <c r="P180" s="8"/>
      <c r="Q180" s="8"/>
    </row>
    <row r="181" spans="1:17" ht="12.75" customHeight="1" x14ac:dyDescent="0.25">
      <c r="A181" s="18"/>
      <c r="B181" s="18"/>
      <c r="C181" s="54" t="s">
        <v>248</v>
      </c>
      <c r="D181" s="31">
        <v>14</v>
      </c>
      <c r="E181" s="31">
        <f>15+4+10+8+8+15+15+8</f>
        <v>83</v>
      </c>
      <c r="F181" s="31">
        <v>8</v>
      </c>
      <c r="G181" s="31">
        <v>83</v>
      </c>
      <c r="H181" s="67">
        <v>0</v>
      </c>
      <c r="I181" s="104"/>
      <c r="J181" s="31"/>
      <c r="K181" s="31"/>
      <c r="L181" s="8"/>
      <c r="M181" s="8"/>
      <c r="N181" s="8"/>
      <c r="O181" s="8"/>
      <c r="P181" s="8"/>
      <c r="Q181" s="8"/>
    </row>
    <row r="182" spans="1:17" ht="12.75" customHeight="1" x14ac:dyDescent="0.2">
      <c r="A182" s="18"/>
      <c r="B182" s="18"/>
      <c r="C182" s="19" t="s">
        <v>30</v>
      </c>
      <c r="D182" s="31">
        <f>SUM(D152:D181)</f>
        <v>315</v>
      </c>
      <c r="E182" s="31">
        <f t="shared" ref="E182:Q182" si="3">SUM(E152:E181)</f>
        <v>1980</v>
      </c>
      <c r="F182" s="31">
        <f t="shared" si="3"/>
        <v>150</v>
      </c>
      <c r="G182" s="31">
        <f t="shared" si="3"/>
        <v>921</v>
      </c>
      <c r="H182" s="31">
        <f t="shared" si="3"/>
        <v>0</v>
      </c>
      <c r="I182" s="31">
        <f t="shared" si="3"/>
        <v>0</v>
      </c>
      <c r="J182" s="31">
        <f t="shared" si="3"/>
        <v>224</v>
      </c>
      <c r="K182" s="31">
        <f t="shared" si="3"/>
        <v>1327</v>
      </c>
      <c r="L182" s="31">
        <f t="shared" si="3"/>
        <v>0</v>
      </c>
      <c r="M182" s="31">
        <f t="shared" si="3"/>
        <v>0</v>
      </c>
      <c r="N182" s="31">
        <f t="shared" si="3"/>
        <v>0</v>
      </c>
      <c r="O182" s="31">
        <f t="shared" si="3"/>
        <v>0</v>
      </c>
      <c r="P182" s="31">
        <f t="shared" si="3"/>
        <v>0</v>
      </c>
      <c r="Q182" s="31">
        <f t="shared" si="3"/>
        <v>0</v>
      </c>
    </row>
    <row r="183" spans="1:17" ht="15" x14ac:dyDescent="0.25">
      <c r="A183" s="18"/>
      <c r="B183" s="18"/>
      <c r="C183" s="58" t="s">
        <v>259</v>
      </c>
      <c r="D183" s="31"/>
      <c r="E183" s="31"/>
      <c r="F183" s="31"/>
      <c r="G183" s="31"/>
      <c r="H183" s="67">
        <v>0</v>
      </c>
      <c r="I183" s="104"/>
      <c r="J183" s="31"/>
      <c r="K183" s="31"/>
      <c r="L183" s="8"/>
      <c r="M183" s="8"/>
      <c r="N183" s="8"/>
      <c r="O183" s="8"/>
      <c r="P183" s="8"/>
      <c r="Q183" s="8"/>
    </row>
    <row r="184" spans="1:17" ht="12.75" customHeight="1" x14ac:dyDescent="0.25">
      <c r="A184" s="18"/>
      <c r="B184" s="53"/>
      <c r="C184" s="57" t="s">
        <v>251</v>
      </c>
      <c r="D184" s="31">
        <v>70</v>
      </c>
      <c r="E184" s="31">
        <v>230</v>
      </c>
      <c r="F184" s="31">
        <v>26</v>
      </c>
      <c r="G184" s="31">
        <v>110</v>
      </c>
      <c r="H184" s="67">
        <v>0</v>
      </c>
      <c r="I184" s="121"/>
      <c r="J184" s="31">
        <v>60</v>
      </c>
      <c r="K184" s="31">
        <v>180</v>
      </c>
      <c r="L184" s="8"/>
      <c r="M184" s="8"/>
      <c r="N184" s="8"/>
      <c r="O184" s="8"/>
      <c r="P184" s="8"/>
      <c r="Q184" s="8"/>
    </row>
    <row r="185" spans="1:17" ht="12.75" customHeight="1" x14ac:dyDescent="0.25">
      <c r="A185" s="18"/>
      <c r="B185" s="53"/>
      <c r="C185" s="50" t="s">
        <v>252</v>
      </c>
      <c r="D185" s="31">
        <v>48</v>
      </c>
      <c r="E185" s="31">
        <v>98</v>
      </c>
      <c r="F185" s="31">
        <v>8</v>
      </c>
      <c r="G185" s="31">
        <v>45</v>
      </c>
      <c r="H185" s="67">
        <v>0</v>
      </c>
      <c r="I185" s="121"/>
      <c r="J185" s="31">
        <v>40</v>
      </c>
      <c r="K185" s="31">
        <v>85</v>
      </c>
      <c r="L185" s="8"/>
      <c r="M185" s="8"/>
      <c r="N185" s="8"/>
      <c r="O185" s="8"/>
      <c r="P185" s="8"/>
      <c r="Q185" s="8"/>
    </row>
    <row r="186" spans="1:17" ht="12.75" customHeight="1" x14ac:dyDescent="0.25">
      <c r="A186" s="18"/>
      <c r="B186" s="53"/>
      <c r="C186" s="50" t="s">
        <v>253</v>
      </c>
      <c r="D186" s="31">
        <v>13</v>
      </c>
      <c r="E186" s="31">
        <v>75</v>
      </c>
      <c r="F186" s="31">
        <v>5</v>
      </c>
      <c r="G186" s="31">
        <v>48</v>
      </c>
      <c r="H186" s="67">
        <v>0</v>
      </c>
      <c r="I186" s="121"/>
      <c r="J186" s="31">
        <v>13</v>
      </c>
      <c r="K186" s="31">
        <v>75</v>
      </c>
      <c r="L186" s="8"/>
      <c r="M186" s="8"/>
      <c r="N186" s="8"/>
      <c r="O186" s="8"/>
      <c r="P186" s="8"/>
      <c r="Q186" s="8"/>
    </row>
    <row r="187" spans="1:17" ht="12.75" customHeight="1" x14ac:dyDescent="0.25">
      <c r="A187" s="18"/>
      <c r="B187" s="53"/>
      <c r="C187" s="50" t="s">
        <v>254</v>
      </c>
      <c r="D187" s="31">
        <v>8</v>
      </c>
      <c r="E187" s="31">
        <v>80</v>
      </c>
      <c r="F187" s="31">
        <v>7</v>
      </c>
      <c r="G187" s="31">
        <v>45</v>
      </c>
      <c r="H187" s="67">
        <v>0</v>
      </c>
      <c r="I187" s="121"/>
      <c r="J187" s="31">
        <v>8</v>
      </c>
      <c r="K187" s="31">
        <v>80</v>
      </c>
      <c r="L187" s="8"/>
      <c r="M187" s="8"/>
      <c r="N187" s="8"/>
      <c r="O187" s="8"/>
      <c r="P187" s="8"/>
      <c r="Q187" s="8"/>
    </row>
    <row r="188" spans="1:17" ht="12.75" customHeight="1" x14ac:dyDescent="0.25">
      <c r="A188" s="18"/>
      <c r="B188" s="53"/>
      <c r="C188" s="50" t="s">
        <v>255</v>
      </c>
      <c r="D188" s="31">
        <v>9</v>
      </c>
      <c r="E188" s="31">
        <v>93</v>
      </c>
      <c r="F188" s="31">
        <v>7</v>
      </c>
      <c r="G188" s="31">
        <v>65</v>
      </c>
      <c r="H188" s="67">
        <v>0</v>
      </c>
      <c r="I188" s="121"/>
      <c r="J188" s="31">
        <v>9</v>
      </c>
      <c r="K188" s="31">
        <v>93</v>
      </c>
      <c r="L188" s="8"/>
      <c r="M188" s="8"/>
      <c r="N188" s="8"/>
      <c r="O188" s="8"/>
      <c r="P188" s="8"/>
      <c r="Q188" s="8"/>
    </row>
    <row r="189" spans="1:17" ht="12.75" customHeight="1" x14ac:dyDescent="0.25">
      <c r="A189" s="18"/>
      <c r="B189" s="53"/>
      <c r="C189" s="50" t="s">
        <v>256</v>
      </c>
      <c r="D189" s="31">
        <v>5</v>
      </c>
      <c r="E189" s="31">
        <v>20</v>
      </c>
      <c r="F189" s="31">
        <v>5</v>
      </c>
      <c r="G189" s="31">
        <v>20</v>
      </c>
      <c r="H189" s="67">
        <v>0</v>
      </c>
      <c r="I189" s="121"/>
      <c r="J189" s="31">
        <v>5</v>
      </c>
      <c r="K189" s="31">
        <v>20</v>
      </c>
      <c r="L189" s="8"/>
      <c r="M189" s="8"/>
      <c r="N189" s="8"/>
      <c r="O189" s="8"/>
      <c r="P189" s="8"/>
      <c r="Q189" s="8"/>
    </row>
    <row r="190" spans="1:17" ht="12.75" customHeight="1" x14ac:dyDescent="0.25">
      <c r="A190" s="18"/>
      <c r="B190" s="53"/>
      <c r="C190" s="50" t="s">
        <v>257</v>
      </c>
      <c r="D190" s="31">
        <v>11</v>
      </c>
      <c r="E190" s="31">
        <v>70</v>
      </c>
      <c r="F190" s="31">
        <v>7</v>
      </c>
      <c r="G190" s="31">
        <v>55</v>
      </c>
      <c r="H190" s="67">
        <v>0</v>
      </c>
      <c r="I190" s="121"/>
      <c r="J190" s="31">
        <v>11</v>
      </c>
      <c r="K190" s="31">
        <v>70</v>
      </c>
      <c r="L190" s="8"/>
      <c r="M190" s="8"/>
      <c r="N190" s="8"/>
      <c r="O190" s="8"/>
      <c r="P190" s="8"/>
      <c r="Q190" s="8"/>
    </row>
    <row r="191" spans="1:17" ht="12.75" customHeight="1" x14ac:dyDescent="0.25">
      <c r="A191" s="18"/>
      <c r="B191" s="53"/>
      <c r="C191" s="50" t="s">
        <v>258</v>
      </c>
      <c r="D191" s="31">
        <v>4</v>
      </c>
      <c r="E191" s="31">
        <v>30</v>
      </c>
      <c r="F191" s="31">
        <v>4</v>
      </c>
      <c r="G191" s="31">
        <v>30</v>
      </c>
      <c r="H191" s="67">
        <v>0</v>
      </c>
      <c r="I191" s="121"/>
      <c r="J191" s="31">
        <v>4</v>
      </c>
      <c r="K191" s="31">
        <v>30</v>
      </c>
      <c r="L191" s="8"/>
      <c r="M191" s="8"/>
      <c r="N191" s="8"/>
      <c r="O191" s="8"/>
      <c r="P191" s="8"/>
      <c r="Q191" s="8"/>
    </row>
    <row r="192" spans="1:17" ht="12.75" customHeight="1" x14ac:dyDescent="0.25">
      <c r="A192" s="18"/>
      <c r="B192" s="53"/>
      <c r="C192" s="19" t="s">
        <v>30</v>
      </c>
      <c r="D192" s="31">
        <f>SUM(D184:D191)</f>
        <v>168</v>
      </c>
      <c r="E192" s="31">
        <f t="shared" ref="E192:K192" si="4">SUM(E184:E191)</f>
        <v>696</v>
      </c>
      <c r="F192" s="31">
        <f t="shared" si="4"/>
        <v>69</v>
      </c>
      <c r="G192" s="31">
        <f t="shared" si="4"/>
        <v>418</v>
      </c>
      <c r="H192" s="67">
        <v>0</v>
      </c>
      <c r="I192" s="31">
        <f t="shared" si="4"/>
        <v>0</v>
      </c>
      <c r="J192" s="31">
        <f t="shared" si="4"/>
        <v>150</v>
      </c>
      <c r="K192" s="31">
        <f t="shared" si="4"/>
        <v>633</v>
      </c>
      <c r="L192" s="8"/>
      <c r="M192" s="8"/>
      <c r="N192" s="8"/>
      <c r="O192" s="8"/>
      <c r="P192" s="8"/>
      <c r="Q192" s="8"/>
    </row>
    <row r="193" spans="1:17" ht="15" x14ac:dyDescent="0.25">
      <c r="A193" s="18"/>
      <c r="B193" s="53"/>
      <c r="C193" s="60" t="s">
        <v>265</v>
      </c>
      <c r="D193" s="31"/>
      <c r="E193" s="31"/>
      <c r="F193" s="31"/>
      <c r="G193" s="31"/>
      <c r="H193" s="67">
        <v>0</v>
      </c>
      <c r="I193" s="104"/>
      <c r="J193" s="31"/>
      <c r="K193" s="31"/>
      <c r="L193" s="8"/>
      <c r="M193" s="8"/>
      <c r="N193" s="8"/>
      <c r="O193" s="8"/>
      <c r="P193" s="8"/>
      <c r="Q193" s="8"/>
    </row>
    <row r="194" spans="1:17" ht="12.75" customHeight="1" x14ac:dyDescent="0.25">
      <c r="A194" s="18"/>
      <c r="B194" s="53"/>
      <c r="C194" s="50" t="s">
        <v>260</v>
      </c>
      <c r="D194" s="31">
        <v>26</v>
      </c>
      <c r="E194" s="31">
        <f>15+7+10+100</f>
        <v>132</v>
      </c>
      <c r="F194" s="31">
        <v>3</v>
      </c>
      <c r="G194" s="31">
        <v>32</v>
      </c>
      <c r="H194" s="67">
        <v>0</v>
      </c>
      <c r="I194" s="104"/>
      <c r="J194" s="31">
        <v>20</v>
      </c>
      <c r="K194" s="31">
        <v>98</v>
      </c>
      <c r="L194" s="8"/>
      <c r="M194" s="8"/>
      <c r="N194" s="8"/>
      <c r="O194" s="8"/>
      <c r="P194" s="8"/>
      <c r="Q194" s="8"/>
    </row>
    <row r="195" spans="1:17" ht="12.75" customHeight="1" x14ac:dyDescent="0.25">
      <c r="A195" s="18"/>
      <c r="B195" s="53"/>
      <c r="C195" s="50" t="s">
        <v>261</v>
      </c>
      <c r="D195" s="31">
        <v>16</v>
      </c>
      <c r="E195" s="31">
        <v>75</v>
      </c>
      <c r="F195" s="31">
        <v>11</v>
      </c>
      <c r="G195" s="31">
        <v>75</v>
      </c>
      <c r="H195" s="67">
        <v>0</v>
      </c>
      <c r="I195" s="104"/>
      <c r="J195" s="31">
        <v>16</v>
      </c>
      <c r="K195" s="31">
        <v>75</v>
      </c>
      <c r="L195" s="8"/>
      <c r="M195" s="8"/>
      <c r="N195" s="8"/>
      <c r="O195" s="8"/>
      <c r="P195" s="8"/>
      <c r="Q195" s="8"/>
    </row>
    <row r="196" spans="1:17" ht="12.75" customHeight="1" x14ac:dyDescent="0.25">
      <c r="A196" s="18"/>
      <c r="B196" s="53"/>
      <c r="C196" s="50" t="s">
        <v>262</v>
      </c>
      <c r="D196" s="31">
        <v>5</v>
      </c>
      <c r="E196" s="31">
        <v>45</v>
      </c>
      <c r="F196" s="31">
        <v>1</v>
      </c>
      <c r="G196" s="31">
        <v>30</v>
      </c>
      <c r="H196" s="67">
        <v>0</v>
      </c>
      <c r="I196" s="104"/>
      <c r="J196" s="31">
        <v>5</v>
      </c>
      <c r="K196" s="31">
        <v>45</v>
      </c>
      <c r="L196" s="8"/>
      <c r="M196" s="8"/>
      <c r="N196" s="8"/>
      <c r="O196" s="8"/>
      <c r="P196" s="8"/>
      <c r="Q196" s="8"/>
    </row>
    <row r="197" spans="1:17" ht="12.75" customHeight="1" x14ac:dyDescent="0.25">
      <c r="A197" s="18"/>
      <c r="B197" s="53"/>
      <c r="C197" s="50" t="s">
        <v>263</v>
      </c>
      <c r="D197" s="31">
        <v>9</v>
      </c>
      <c r="E197" s="31">
        <v>35</v>
      </c>
      <c r="F197" s="31">
        <v>5</v>
      </c>
      <c r="G197" s="31">
        <v>20</v>
      </c>
      <c r="H197" s="67">
        <v>0</v>
      </c>
      <c r="I197" s="104"/>
      <c r="J197" s="31">
        <v>9</v>
      </c>
      <c r="K197" s="31">
        <v>35</v>
      </c>
      <c r="L197" s="8"/>
      <c r="M197" s="8"/>
      <c r="N197" s="8"/>
      <c r="O197" s="8"/>
      <c r="P197" s="8"/>
      <c r="Q197" s="8"/>
    </row>
    <row r="198" spans="1:17" ht="12.75" customHeight="1" x14ac:dyDescent="0.25">
      <c r="A198" s="18"/>
      <c r="B198" s="53"/>
      <c r="C198" s="50" t="s">
        <v>264</v>
      </c>
      <c r="D198" s="31">
        <v>7</v>
      </c>
      <c r="E198" s="31">
        <f>15+10+3+25</f>
        <v>53</v>
      </c>
      <c r="F198" s="31">
        <v>3</v>
      </c>
      <c r="G198" s="31">
        <f>15+10+3</f>
        <v>28</v>
      </c>
      <c r="H198" s="67">
        <v>0</v>
      </c>
      <c r="I198" s="104"/>
      <c r="J198" s="31">
        <v>7</v>
      </c>
      <c r="K198" s="31">
        <f>15+10+3+25</f>
        <v>53</v>
      </c>
      <c r="L198" s="8"/>
      <c r="M198" s="8"/>
      <c r="N198" s="8"/>
      <c r="O198" s="8"/>
      <c r="P198" s="8"/>
      <c r="Q198" s="8"/>
    </row>
    <row r="199" spans="1:17" ht="12.75" customHeight="1" x14ac:dyDescent="0.25">
      <c r="A199" s="18"/>
      <c r="B199" s="18"/>
      <c r="C199" s="59" t="s">
        <v>30</v>
      </c>
      <c r="D199" s="31">
        <f>SUM(D194:D198)</f>
        <v>63</v>
      </c>
      <c r="E199" s="31">
        <f>SUM(E194:E198)</f>
        <v>340</v>
      </c>
      <c r="F199" s="31">
        <f>SUM(F194:F198)</f>
        <v>23</v>
      </c>
      <c r="G199" s="31">
        <f>SUM(G194:G198)</f>
        <v>185</v>
      </c>
      <c r="H199" s="67">
        <v>0</v>
      </c>
      <c r="I199" s="31">
        <f>SUM(I194:I198)</f>
        <v>0</v>
      </c>
      <c r="J199" s="31">
        <f>SUM(J194:J198)</f>
        <v>57</v>
      </c>
      <c r="K199" s="31">
        <v>140</v>
      </c>
      <c r="L199" s="8"/>
      <c r="M199" s="8"/>
      <c r="N199" s="8"/>
      <c r="O199" s="8"/>
      <c r="P199" s="8"/>
      <c r="Q199" s="8"/>
    </row>
    <row r="200" spans="1:17" ht="15" x14ac:dyDescent="0.25">
      <c r="A200" s="18"/>
      <c r="B200" s="18"/>
      <c r="C200" s="51" t="s">
        <v>305</v>
      </c>
      <c r="D200" s="31"/>
      <c r="E200" s="31"/>
      <c r="F200" s="31"/>
      <c r="G200" s="31"/>
      <c r="H200" s="67">
        <v>0</v>
      </c>
      <c r="I200" s="104"/>
      <c r="J200" s="31"/>
      <c r="K200" s="31"/>
      <c r="L200" s="8"/>
      <c r="M200" s="8"/>
      <c r="N200" s="8"/>
      <c r="O200" s="8"/>
      <c r="P200" s="8"/>
      <c r="Q200" s="8"/>
    </row>
    <row r="201" spans="1:17" ht="12.75" customHeight="1" x14ac:dyDescent="0.25">
      <c r="A201" s="18"/>
      <c r="B201" s="53"/>
      <c r="C201" s="50" t="s">
        <v>266</v>
      </c>
      <c r="D201" s="31">
        <v>28</v>
      </c>
      <c r="E201" s="31">
        <v>160</v>
      </c>
      <c r="F201" s="31">
        <v>20</v>
      </c>
      <c r="G201" s="31">
        <v>100</v>
      </c>
      <c r="H201" s="67">
        <v>0</v>
      </c>
      <c r="I201" s="104"/>
      <c r="J201" s="31">
        <v>48</v>
      </c>
      <c r="K201" s="31">
        <v>260</v>
      </c>
      <c r="L201" s="8"/>
      <c r="M201" s="8"/>
      <c r="N201" s="8"/>
      <c r="O201" s="8"/>
      <c r="P201" s="8"/>
      <c r="Q201" s="8"/>
    </row>
    <row r="202" spans="1:17" ht="12.75" customHeight="1" x14ac:dyDescent="0.25">
      <c r="A202" s="18"/>
      <c r="B202" s="53"/>
      <c r="C202" s="50" t="s">
        <v>267</v>
      </c>
      <c r="D202" s="31"/>
      <c r="E202" s="31"/>
      <c r="F202" s="31"/>
      <c r="G202" s="31"/>
      <c r="H202" s="67">
        <v>0</v>
      </c>
      <c r="I202" s="104"/>
      <c r="J202" s="31"/>
      <c r="K202" s="31"/>
      <c r="L202" s="8"/>
      <c r="M202" s="8"/>
      <c r="N202" s="8"/>
      <c r="O202" s="8"/>
      <c r="P202" s="8"/>
      <c r="Q202" s="8"/>
    </row>
    <row r="203" spans="1:17" ht="12.75" customHeight="1" x14ac:dyDescent="0.25">
      <c r="A203" s="18"/>
      <c r="B203" s="53"/>
      <c r="C203" s="57" t="s">
        <v>268</v>
      </c>
      <c r="D203" s="31">
        <v>30</v>
      </c>
      <c r="E203" s="31">
        <v>120</v>
      </c>
      <c r="F203" s="31">
        <v>1</v>
      </c>
      <c r="G203" s="31">
        <v>7</v>
      </c>
      <c r="H203" s="67">
        <v>0</v>
      </c>
      <c r="I203" s="104"/>
      <c r="J203" s="31">
        <v>16</v>
      </c>
      <c r="K203" s="31">
        <v>145</v>
      </c>
      <c r="L203" s="8"/>
      <c r="M203" s="8"/>
      <c r="N203" s="8"/>
      <c r="O203" s="8"/>
      <c r="P203" s="8"/>
      <c r="Q203" s="8"/>
    </row>
    <row r="204" spans="1:17" ht="12.75" customHeight="1" x14ac:dyDescent="0.25">
      <c r="A204" s="18"/>
      <c r="B204" s="53"/>
      <c r="C204" s="50" t="s">
        <v>269</v>
      </c>
      <c r="D204" s="31"/>
      <c r="E204" s="31"/>
      <c r="F204" s="31"/>
      <c r="G204" s="31"/>
      <c r="H204" s="67">
        <v>0</v>
      </c>
      <c r="I204" s="104"/>
      <c r="J204" s="31"/>
      <c r="K204" s="31"/>
      <c r="L204" s="8"/>
      <c r="M204" s="8"/>
      <c r="N204" s="8"/>
      <c r="O204" s="8"/>
      <c r="P204" s="8"/>
      <c r="Q204" s="8"/>
    </row>
    <row r="205" spans="1:17" ht="12.75" customHeight="1" x14ac:dyDescent="0.25">
      <c r="A205" s="18"/>
      <c r="B205" s="53"/>
      <c r="C205" s="50" t="s">
        <v>270</v>
      </c>
      <c r="D205" s="31">
        <v>41</v>
      </c>
      <c r="E205" s="31">
        <v>340</v>
      </c>
      <c r="F205" s="31">
        <v>32</v>
      </c>
      <c r="G205" s="31">
        <v>268</v>
      </c>
      <c r="H205" s="67">
        <v>0</v>
      </c>
      <c r="I205" s="104"/>
      <c r="J205" s="31">
        <v>36</v>
      </c>
      <c r="K205" s="31">
        <v>245</v>
      </c>
      <c r="L205" s="8"/>
      <c r="M205" s="8"/>
      <c r="N205" s="8"/>
      <c r="O205" s="8"/>
      <c r="P205" s="8"/>
      <c r="Q205" s="8"/>
    </row>
    <row r="206" spans="1:17" ht="12.75" customHeight="1" x14ac:dyDescent="0.25">
      <c r="A206" s="18"/>
      <c r="B206" s="53"/>
      <c r="C206" s="50" t="s">
        <v>271</v>
      </c>
      <c r="D206" s="31">
        <v>6</v>
      </c>
      <c r="E206" s="31">
        <f>10+5+5+5+5+5</f>
        <v>35</v>
      </c>
      <c r="F206" s="31">
        <v>6</v>
      </c>
      <c r="G206" s="31">
        <v>35</v>
      </c>
      <c r="H206" s="67">
        <v>0</v>
      </c>
      <c r="I206" s="104"/>
      <c r="J206" s="31">
        <v>6</v>
      </c>
      <c r="K206" s="31">
        <f>10+5+5+5+5+5</f>
        <v>35</v>
      </c>
      <c r="L206" s="8"/>
      <c r="M206" s="8"/>
      <c r="N206" s="8"/>
      <c r="O206" s="8"/>
      <c r="P206" s="8"/>
      <c r="Q206" s="8"/>
    </row>
    <row r="207" spans="1:17" ht="12.75" customHeight="1" x14ac:dyDescent="0.25">
      <c r="A207" s="18"/>
      <c r="B207" s="53"/>
      <c r="C207" s="50" t="s">
        <v>272</v>
      </c>
      <c r="D207" s="31">
        <v>2</v>
      </c>
      <c r="E207" s="31">
        <f>7.5+3</f>
        <v>10.5</v>
      </c>
      <c r="F207" s="31">
        <v>2</v>
      </c>
      <c r="G207" s="31">
        <f>7.5+3</f>
        <v>10.5</v>
      </c>
      <c r="H207" s="67">
        <v>0</v>
      </c>
      <c r="I207" s="104"/>
      <c r="J207" s="31">
        <v>2</v>
      </c>
      <c r="K207" s="31">
        <f>7.5+3</f>
        <v>10.5</v>
      </c>
      <c r="L207" s="8"/>
      <c r="M207" s="8"/>
      <c r="N207" s="8"/>
      <c r="O207" s="8"/>
      <c r="P207" s="8"/>
      <c r="Q207" s="8"/>
    </row>
    <row r="208" spans="1:17" ht="12.75" customHeight="1" x14ac:dyDescent="0.25">
      <c r="A208" s="18"/>
      <c r="B208" s="53"/>
      <c r="C208" s="50" t="s">
        <v>273</v>
      </c>
      <c r="D208" s="31">
        <v>9</v>
      </c>
      <c r="E208" s="31">
        <f>13+15+13+8+6+40</f>
        <v>95</v>
      </c>
      <c r="F208" s="31">
        <v>9</v>
      </c>
      <c r="G208" s="31">
        <v>95</v>
      </c>
      <c r="H208" s="67">
        <v>0</v>
      </c>
      <c r="I208" s="104"/>
      <c r="J208" s="31">
        <v>9</v>
      </c>
      <c r="K208" s="31">
        <f>13+15+13+8+6+40</f>
        <v>95</v>
      </c>
      <c r="L208" s="8"/>
      <c r="M208" s="8"/>
      <c r="N208" s="8"/>
      <c r="O208" s="8"/>
      <c r="P208" s="8"/>
      <c r="Q208" s="8"/>
    </row>
    <row r="209" spans="1:17" ht="12.75" customHeight="1" x14ac:dyDescent="0.25">
      <c r="A209" s="18"/>
      <c r="B209" s="53"/>
      <c r="C209" s="50" t="s">
        <v>274</v>
      </c>
      <c r="D209" s="31">
        <v>9</v>
      </c>
      <c r="E209" s="31">
        <v>90</v>
      </c>
      <c r="F209" s="31">
        <v>9</v>
      </c>
      <c r="G209" s="31">
        <v>90</v>
      </c>
      <c r="H209" s="67">
        <v>0</v>
      </c>
      <c r="I209" s="104"/>
      <c r="J209" s="31">
        <v>9</v>
      </c>
      <c r="K209" s="31">
        <v>90</v>
      </c>
      <c r="L209" s="8"/>
      <c r="M209" s="8"/>
      <c r="N209" s="8"/>
      <c r="O209" s="8"/>
      <c r="P209" s="8"/>
      <c r="Q209" s="8"/>
    </row>
    <row r="210" spans="1:17" ht="12.75" customHeight="1" x14ac:dyDescent="0.25">
      <c r="A210" s="18"/>
      <c r="B210" s="53"/>
      <c r="C210" s="50" t="s">
        <v>275</v>
      </c>
      <c r="D210" s="31">
        <v>1</v>
      </c>
      <c r="E210" s="31">
        <v>15</v>
      </c>
      <c r="F210" s="31">
        <v>1</v>
      </c>
      <c r="G210" s="31">
        <v>15</v>
      </c>
      <c r="H210" s="67">
        <v>0</v>
      </c>
      <c r="I210" s="104"/>
      <c r="J210" s="31">
        <v>1</v>
      </c>
      <c r="K210" s="31">
        <v>15</v>
      </c>
      <c r="L210" s="8"/>
      <c r="M210" s="8"/>
      <c r="N210" s="8"/>
      <c r="O210" s="8"/>
      <c r="P210" s="8"/>
      <c r="Q210" s="8"/>
    </row>
    <row r="211" spans="1:17" ht="12.75" customHeight="1" x14ac:dyDescent="0.25">
      <c r="A211" s="18"/>
      <c r="B211" s="53"/>
      <c r="C211" s="50" t="s">
        <v>276</v>
      </c>
      <c r="D211" s="31">
        <v>3</v>
      </c>
      <c r="E211" s="31">
        <f>20+10+7</f>
        <v>37</v>
      </c>
      <c r="F211" s="31">
        <v>3</v>
      </c>
      <c r="G211" s="31">
        <v>37</v>
      </c>
      <c r="H211" s="67">
        <v>0</v>
      </c>
      <c r="I211" s="104"/>
      <c r="J211" s="31">
        <v>3</v>
      </c>
      <c r="K211" s="31">
        <f>20+10+7</f>
        <v>37</v>
      </c>
      <c r="L211" s="8"/>
      <c r="M211" s="8"/>
      <c r="N211" s="8"/>
      <c r="O211" s="8"/>
      <c r="P211" s="8"/>
      <c r="Q211" s="8"/>
    </row>
    <row r="212" spans="1:17" ht="12.75" customHeight="1" x14ac:dyDescent="0.25">
      <c r="A212" s="18"/>
      <c r="B212" s="53"/>
      <c r="C212" s="50" t="s">
        <v>277</v>
      </c>
      <c r="D212" s="31">
        <v>11</v>
      </c>
      <c r="E212" s="31">
        <v>126</v>
      </c>
      <c r="F212" s="31">
        <v>11</v>
      </c>
      <c r="G212" s="31">
        <v>126</v>
      </c>
      <c r="H212" s="67">
        <v>0</v>
      </c>
      <c r="I212" s="104"/>
      <c r="J212" s="31">
        <v>11</v>
      </c>
      <c r="K212" s="31">
        <v>126</v>
      </c>
      <c r="L212" s="8"/>
      <c r="M212" s="8"/>
      <c r="N212" s="8"/>
      <c r="O212" s="8"/>
      <c r="P212" s="8"/>
      <c r="Q212" s="8"/>
    </row>
    <row r="213" spans="1:17" ht="12.75" customHeight="1" x14ac:dyDescent="0.25">
      <c r="A213" s="18"/>
      <c r="B213" s="53"/>
      <c r="C213" s="50" t="s">
        <v>278</v>
      </c>
      <c r="D213" s="31">
        <v>4</v>
      </c>
      <c r="E213" s="31">
        <v>62</v>
      </c>
      <c r="F213" s="31">
        <v>4</v>
      </c>
      <c r="G213" s="31">
        <v>62</v>
      </c>
      <c r="H213" s="67">
        <v>0</v>
      </c>
      <c r="I213" s="104"/>
      <c r="J213" s="31">
        <v>4</v>
      </c>
      <c r="K213" s="31">
        <v>62</v>
      </c>
      <c r="L213" s="8"/>
      <c r="M213" s="8"/>
      <c r="N213" s="8"/>
      <c r="O213" s="8"/>
      <c r="P213" s="8"/>
      <c r="Q213" s="8"/>
    </row>
    <row r="214" spans="1:17" ht="12.75" customHeight="1" x14ac:dyDescent="0.25">
      <c r="A214" s="18"/>
      <c r="B214" s="53"/>
      <c r="C214" s="50" t="s">
        <v>279</v>
      </c>
      <c r="D214" s="31">
        <v>1</v>
      </c>
      <c r="E214" s="31">
        <v>3</v>
      </c>
      <c r="F214" s="31">
        <v>1</v>
      </c>
      <c r="G214" s="31">
        <v>3</v>
      </c>
      <c r="H214" s="67">
        <v>0</v>
      </c>
      <c r="I214" s="104"/>
      <c r="J214" s="31">
        <v>1</v>
      </c>
      <c r="K214" s="31">
        <v>3</v>
      </c>
      <c r="L214" s="8"/>
      <c r="M214" s="8"/>
      <c r="N214" s="8"/>
      <c r="O214" s="8"/>
      <c r="P214" s="8"/>
      <c r="Q214" s="8"/>
    </row>
    <row r="215" spans="1:17" ht="12.75" customHeight="1" x14ac:dyDescent="0.25">
      <c r="A215" s="18"/>
      <c r="B215" s="53"/>
      <c r="C215" s="50" t="s">
        <v>280</v>
      </c>
      <c r="D215" s="31">
        <v>2</v>
      </c>
      <c r="E215" s="31">
        <v>15</v>
      </c>
      <c r="F215" s="31">
        <v>2</v>
      </c>
      <c r="G215" s="31">
        <v>15</v>
      </c>
      <c r="H215" s="67">
        <v>0</v>
      </c>
      <c r="I215" s="104"/>
      <c r="J215" s="31">
        <v>2</v>
      </c>
      <c r="K215" s="31">
        <v>15</v>
      </c>
      <c r="L215" s="8"/>
      <c r="M215" s="8"/>
      <c r="N215" s="8"/>
      <c r="O215" s="8"/>
      <c r="P215" s="8"/>
      <c r="Q215" s="8"/>
    </row>
    <row r="216" spans="1:17" ht="12.75" customHeight="1" x14ac:dyDescent="0.25">
      <c r="A216" s="18"/>
      <c r="B216" s="53"/>
      <c r="C216" s="50" t="s">
        <v>281</v>
      </c>
      <c r="D216" s="31">
        <v>1</v>
      </c>
      <c r="E216" s="31">
        <v>7</v>
      </c>
      <c r="F216" s="31">
        <v>1</v>
      </c>
      <c r="G216" s="31">
        <v>7</v>
      </c>
      <c r="H216" s="67">
        <v>0</v>
      </c>
      <c r="I216" s="104"/>
      <c r="J216" s="31">
        <v>1</v>
      </c>
      <c r="K216" s="31">
        <v>7</v>
      </c>
      <c r="L216" s="8"/>
      <c r="M216" s="8"/>
      <c r="N216" s="8"/>
      <c r="O216" s="8"/>
      <c r="P216" s="8"/>
      <c r="Q216" s="8"/>
    </row>
    <row r="217" spans="1:17" ht="12.75" customHeight="1" x14ac:dyDescent="0.25">
      <c r="A217" s="18"/>
      <c r="B217" s="53"/>
      <c r="C217" s="50" t="s">
        <v>282</v>
      </c>
      <c r="D217" s="31">
        <v>7</v>
      </c>
      <c r="E217" s="31">
        <v>25</v>
      </c>
      <c r="F217" s="31"/>
      <c r="G217" s="31"/>
      <c r="H217" s="67">
        <v>0</v>
      </c>
      <c r="I217" s="104"/>
      <c r="J217" s="31">
        <v>7</v>
      </c>
      <c r="K217" s="31">
        <v>25</v>
      </c>
      <c r="L217" s="8"/>
      <c r="M217" s="8"/>
      <c r="N217" s="8"/>
      <c r="O217" s="8"/>
      <c r="P217" s="8"/>
      <c r="Q217" s="8"/>
    </row>
    <row r="218" spans="1:17" ht="12.75" customHeight="1" x14ac:dyDescent="0.25">
      <c r="A218" s="18"/>
      <c r="B218" s="53"/>
      <c r="C218" s="50" t="s">
        <v>283</v>
      </c>
      <c r="D218" s="31">
        <v>15</v>
      </c>
      <c r="E218" s="31">
        <v>148</v>
      </c>
      <c r="F218" s="31">
        <v>15</v>
      </c>
      <c r="G218" s="31">
        <v>148</v>
      </c>
      <c r="H218" s="67">
        <v>0</v>
      </c>
      <c r="I218" s="104"/>
      <c r="J218" s="31">
        <v>15</v>
      </c>
      <c r="K218" s="31">
        <v>148</v>
      </c>
      <c r="L218" s="8"/>
      <c r="M218" s="8"/>
      <c r="N218" s="8"/>
      <c r="O218" s="8"/>
      <c r="P218" s="8"/>
      <c r="Q218" s="8"/>
    </row>
    <row r="219" spans="1:17" ht="12.75" customHeight="1" x14ac:dyDescent="0.25">
      <c r="A219" s="18"/>
      <c r="B219" s="53"/>
      <c r="C219" s="50" t="s">
        <v>284</v>
      </c>
      <c r="D219" s="31">
        <v>1</v>
      </c>
      <c r="E219" s="31">
        <v>30</v>
      </c>
      <c r="F219" s="31">
        <v>1</v>
      </c>
      <c r="G219" s="31">
        <v>30</v>
      </c>
      <c r="H219" s="67">
        <v>0</v>
      </c>
      <c r="I219" s="104"/>
      <c r="J219" s="31">
        <v>1</v>
      </c>
      <c r="K219" s="31">
        <v>30</v>
      </c>
      <c r="L219" s="8"/>
      <c r="M219" s="8"/>
      <c r="N219" s="8"/>
      <c r="O219" s="8"/>
      <c r="P219" s="8"/>
      <c r="Q219" s="8"/>
    </row>
    <row r="220" spans="1:17" ht="12.75" customHeight="1" x14ac:dyDescent="0.25">
      <c r="A220" s="18"/>
      <c r="B220" s="53"/>
      <c r="C220" s="50" t="s">
        <v>285</v>
      </c>
      <c r="D220" s="31">
        <v>6</v>
      </c>
      <c r="E220" s="31">
        <v>41</v>
      </c>
      <c r="F220" s="31">
        <v>6</v>
      </c>
      <c r="G220" s="31">
        <v>41</v>
      </c>
      <c r="H220" s="67">
        <v>0</v>
      </c>
      <c r="I220" s="104"/>
      <c r="J220" s="31">
        <v>6</v>
      </c>
      <c r="K220" s="31">
        <v>41</v>
      </c>
      <c r="L220" s="8"/>
      <c r="M220" s="8"/>
      <c r="N220" s="8"/>
      <c r="O220" s="8"/>
      <c r="P220" s="8"/>
      <c r="Q220" s="8"/>
    </row>
    <row r="221" spans="1:17" ht="12.75" customHeight="1" x14ac:dyDescent="0.25">
      <c r="A221" s="18"/>
      <c r="B221" s="53"/>
      <c r="C221" s="50" t="s">
        <v>286</v>
      </c>
      <c r="D221" s="31">
        <v>18</v>
      </c>
      <c r="E221" s="31">
        <v>332</v>
      </c>
      <c r="F221" s="31">
        <v>10</v>
      </c>
      <c r="G221" s="31">
        <v>70</v>
      </c>
      <c r="H221" s="67">
        <v>0</v>
      </c>
      <c r="I221" s="104"/>
      <c r="J221" s="31">
        <v>18</v>
      </c>
      <c r="K221" s="31">
        <v>332</v>
      </c>
      <c r="L221" s="8"/>
      <c r="M221" s="8"/>
      <c r="N221" s="8"/>
      <c r="O221" s="8"/>
      <c r="P221" s="8"/>
      <c r="Q221" s="8"/>
    </row>
    <row r="222" spans="1:17" ht="12.75" customHeight="1" x14ac:dyDescent="0.25">
      <c r="A222" s="18"/>
      <c r="B222" s="53"/>
      <c r="C222" s="50" t="s">
        <v>287</v>
      </c>
      <c r="D222" s="31">
        <v>6</v>
      </c>
      <c r="E222" s="31">
        <f>14+10+10+10+10+6</f>
        <v>60</v>
      </c>
      <c r="F222" s="31">
        <v>6</v>
      </c>
      <c r="G222" s="31">
        <v>45</v>
      </c>
      <c r="H222" s="67">
        <v>0</v>
      </c>
      <c r="I222" s="104"/>
      <c r="J222" s="31">
        <v>6</v>
      </c>
      <c r="K222" s="31">
        <f>14+10+10+10+10+6</f>
        <v>60</v>
      </c>
      <c r="L222" s="8"/>
      <c r="M222" s="8"/>
      <c r="N222" s="8"/>
      <c r="O222" s="8"/>
      <c r="P222" s="8"/>
      <c r="Q222" s="8"/>
    </row>
    <row r="223" spans="1:17" ht="12.75" customHeight="1" x14ac:dyDescent="0.25">
      <c r="A223" s="18"/>
      <c r="B223" s="53"/>
      <c r="C223" s="50" t="s">
        <v>288</v>
      </c>
      <c r="D223" s="31">
        <v>5</v>
      </c>
      <c r="E223" s="31">
        <f>13+13</f>
        <v>26</v>
      </c>
      <c r="F223" s="31">
        <v>2</v>
      </c>
      <c r="G223" s="31">
        <v>16</v>
      </c>
      <c r="H223" s="67">
        <v>0</v>
      </c>
      <c r="I223" s="104"/>
      <c r="J223" s="31">
        <v>5</v>
      </c>
      <c r="K223" s="31">
        <f>13+13</f>
        <v>26</v>
      </c>
      <c r="L223" s="8"/>
      <c r="M223" s="8"/>
      <c r="N223" s="8"/>
      <c r="O223" s="8"/>
      <c r="P223" s="8"/>
      <c r="Q223" s="8"/>
    </row>
    <row r="224" spans="1:17" ht="12.75" customHeight="1" x14ac:dyDescent="0.25">
      <c r="A224" s="18"/>
      <c r="B224" s="53"/>
      <c r="C224" s="50" t="s">
        <v>289</v>
      </c>
      <c r="D224" s="31">
        <v>17</v>
      </c>
      <c r="E224" s="31">
        <v>159</v>
      </c>
      <c r="F224" s="31">
        <v>17</v>
      </c>
      <c r="G224" s="31">
        <v>159</v>
      </c>
      <c r="H224" s="67">
        <v>0</v>
      </c>
      <c r="I224" s="104"/>
      <c r="J224" s="31">
        <v>17</v>
      </c>
      <c r="K224" s="31">
        <v>159</v>
      </c>
      <c r="L224" s="8"/>
      <c r="M224" s="8"/>
      <c r="N224" s="8"/>
      <c r="O224" s="8"/>
      <c r="P224" s="8"/>
      <c r="Q224" s="8"/>
    </row>
    <row r="225" spans="1:17" ht="12.75" customHeight="1" x14ac:dyDescent="0.25">
      <c r="A225" s="18"/>
      <c r="B225" s="53"/>
      <c r="C225" s="50" t="s">
        <v>290</v>
      </c>
      <c r="D225" s="31"/>
      <c r="E225" s="31"/>
      <c r="F225" s="31"/>
      <c r="G225" s="31"/>
      <c r="H225" s="67">
        <v>0</v>
      </c>
      <c r="I225" s="104"/>
      <c r="J225" s="31"/>
      <c r="K225" s="31"/>
      <c r="L225" s="8"/>
      <c r="M225" s="8"/>
      <c r="N225" s="8"/>
      <c r="O225" s="8"/>
      <c r="P225" s="8"/>
      <c r="Q225" s="8"/>
    </row>
    <row r="226" spans="1:17" ht="12.75" customHeight="1" x14ac:dyDescent="0.25">
      <c r="A226" s="18"/>
      <c r="B226" s="53"/>
      <c r="C226" s="50" t="s">
        <v>291</v>
      </c>
      <c r="D226" s="31">
        <v>1</v>
      </c>
      <c r="E226" s="31">
        <v>7</v>
      </c>
      <c r="F226" s="31">
        <v>1</v>
      </c>
      <c r="G226" s="31">
        <v>7</v>
      </c>
      <c r="H226" s="67">
        <v>0</v>
      </c>
      <c r="I226" s="104"/>
      <c r="J226" s="31">
        <v>1</v>
      </c>
      <c r="K226" s="31">
        <v>7</v>
      </c>
      <c r="L226" s="8"/>
      <c r="M226" s="8"/>
      <c r="N226" s="8"/>
      <c r="O226" s="8"/>
      <c r="P226" s="8"/>
      <c r="Q226" s="8"/>
    </row>
    <row r="227" spans="1:17" ht="12.75" customHeight="1" x14ac:dyDescent="0.25">
      <c r="A227" s="18"/>
      <c r="B227" s="53"/>
      <c r="C227" s="50" t="s">
        <v>292</v>
      </c>
      <c r="D227" s="31">
        <v>1</v>
      </c>
      <c r="E227" s="31">
        <v>15</v>
      </c>
      <c r="F227" s="31">
        <v>1</v>
      </c>
      <c r="G227" s="31">
        <v>15</v>
      </c>
      <c r="H227" s="67">
        <v>0</v>
      </c>
      <c r="I227" s="104"/>
      <c r="J227" s="31">
        <v>1</v>
      </c>
      <c r="K227" s="31">
        <v>15</v>
      </c>
      <c r="L227" s="8"/>
      <c r="M227" s="8"/>
      <c r="N227" s="8"/>
      <c r="O227" s="8"/>
      <c r="P227" s="8"/>
      <c r="Q227" s="8"/>
    </row>
    <row r="228" spans="1:17" ht="12.75" customHeight="1" x14ac:dyDescent="0.25">
      <c r="A228" s="18"/>
      <c r="B228" s="53"/>
      <c r="C228" s="50" t="s">
        <v>293</v>
      </c>
      <c r="D228" s="31"/>
      <c r="E228" s="31"/>
      <c r="F228" s="31"/>
      <c r="G228" s="31"/>
      <c r="H228" s="67">
        <v>0</v>
      </c>
      <c r="I228" s="104"/>
      <c r="J228" s="31"/>
      <c r="K228" s="31"/>
      <c r="L228" s="8"/>
      <c r="M228" s="8"/>
      <c r="N228" s="8"/>
      <c r="O228" s="8"/>
      <c r="P228" s="8"/>
      <c r="Q228" s="8"/>
    </row>
    <row r="229" spans="1:17" ht="12.75" customHeight="1" x14ac:dyDescent="0.25">
      <c r="A229" s="18"/>
      <c r="B229" s="53"/>
      <c r="C229" s="50" t="s">
        <v>294</v>
      </c>
      <c r="D229" s="31">
        <v>21</v>
      </c>
      <c r="E229" s="31">
        <v>259</v>
      </c>
      <c r="F229" s="31">
        <v>21</v>
      </c>
      <c r="G229" s="31">
        <v>259</v>
      </c>
      <c r="H229" s="67">
        <v>0</v>
      </c>
      <c r="I229" s="104"/>
      <c r="J229" s="31">
        <v>18</v>
      </c>
      <c r="K229" s="31">
        <v>200</v>
      </c>
      <c r="L229" s="8"/>
      <c r="M229" s="8"/>
      <c r="N229" s="8"/>
      <c r="O229" s="8"/>
      <c r="P229" s="8"/>
      <c r="Q229" s="8"/>
    </row>
    <row r="230" spans="1:17" ht="12.75" customHeight="1" x14ac:dyDescent="0.25">
      <c r="A230" s="18"/>
      <c r="B230" s="53"/>
      <c r="C230" s="50" t="s">
        <v>295</v>
      </c>
      <c r="D230" s="31">
        <v>9</v>
      </c>
      <c r="E230" s="31">
        <v>90</v>
      </c>
      <c r="F230" s="31">
        <v>9</v>
      </c>
      <c r="G230" s="31">
        <v>90</v>
      </c>
      <c r="H230" s="67">
        <v>0</v>
      </c>
      <c r="I230" s="104"/>
      <c r="J230" s="31">
        <v>9</v>
      </c>
      <c r="K230" s="31">
        <v>90</v>
      </c>
      <c r="L230" s="8"/>
      <c r="M230" s="8"/>
      <c r="N230" s="8"/>
      <c r="O230" s="8"/>
      <c r="P230" s="8"/>
      <c r="Q230" s="8"/>
    </row>
    <row r="231" spans="1:17" ht="12.75" customHeight="1" x14ac:dyDescent="0.25">
      <c r="A231" s="18"/>
      <c r="B231" s="53"/>
      <c r="C231" s="50" t="s">
        <v>296</v>
      </c>
      <c r="D231" s="31">
        <v>12</v>
      </c>
      <c r="E231" s="31">
        <v>74</v>
      </c>
      <c r="F231" s="31">
        <v>12</v>
      </c>
      <c r="G231" s="31">
        <v>74</v>
      </c>
      <c r="H231" s="67">
        <v>0</v>
      </c>
      <c r="I231" s="104"/>
      <c r="J231" s="31">
        <v>12</v>
      </c>
      <c r="K231" s="31">
        <v>74</v>
      </c>
      <c r="L231" s="8"/>
      <c r="M231" s="8"/>
      <c r="N231" s="8"/>
      <c r="O231" s="8"/>
      <c r="P231" s="8"/>
      <c r="Q231" s="8"/>
    </row>
    <row r="232" spans="1:17" ht="12.75" customHeight="1" x14ac:dyDescent="0.25">
      <c r="A232" s="18"/>
      <c r="B232" s="53"/>
      <c r="C232" s="50" t="s">
        <v>297</v>
      </c>
      <c r="D232" s="31"/>
      <c r="E232" s="31"/>
      <c r="F232" s="31"/>
      <c r="G232" s="31"/>
      <c r="H232" s="67">
        <v>0</v>
      </c>
      <c r="I232" s="104"/>
      <c r="J232" s="31"/>
      <c r="K232" s="31"/>
      <c r="L232" s="8"/>
      <c r="M232" s="8"/>
      <c r="N232" s="8"/>
      <c r="O232" s="8"/>
      <c r="P232" s="8"/>
      <c r="Q232" s="8"/>
    </row>
    <row r="233" spans="1:17" ht="12.75" customHeight="1" x14ac:dyDescent="0.25">
      <c r="A233" s="18"/>
      <c r="B233" s="53"/>
      <c r="C233" s="50" t="s">
        <v>298</v>
      </c>
      <c r="D233" s="31">
        <v>7</v>
      </c>
      <c r="E233" s="31">
        <v>45</v>
      </c>
      <c r="F233" s="31">
        <v>5</v>
      </c>
      <c r="G233" s="31">
        <v>30</v>
      </c>
      <c r="H233" s="67">
        <v>0</v>
      </c>
      <c r="I233" s="104"/>
      <c r="J233" s="31">
        <v>7</v>
      </c>
      <c r="K233" s="31">
        <v>45</v>
      </c>
      <c r="L233" s="8"/>
      <c r="M233" s="8"/>
      <c r="N233" s="8"/>
      <c r="O233" s="8"/>
      <c r="P233" s="8"/>
      <c r="Q233" s="8"/>
    </row>
    <row r="234" spans="1:17" ht="12.75" customHeight="1" x14ac:dyDescent="0.25">
      <c r="A234" s="18"/>
      <c r="B234" s="53"/>
      <c r="C234" s="50" t="s">
        <v>299</v>
      </c>
      <c r="D234" s="31">
        <v>5</v>
      </c>
      <c r="E234" s="31">
        <v>25</v>
      </c>
      <c r="F234" s="31">
        <v>4</v>
      </c>
      <c r="G234" s="31">
        <v>20</v>
      </c>
      <c r="H234" s="67">
        <v>0</v>
      </c>
      <c r="I234" s="104"/>
      <c r="J234" s="31">
        <v>5</v>
      </c>
      <c r="K234" s="31">
        <v>25</v>
      </c>
      <c r="L234" s="8"/>
      <c r="M234" s="8"/>
      <c r="N234" s="8"/>
      <c r="O234" s="8"/>
      <c r="P234" s="8"/>
      <c r="Q234" s="8"/>
    </row>
    <row r="235" spans="1:17" ht="12.75" customHeight="1" x14ac:dyDescent="0.25">
      <c r="A235" s="18"/>
      <c r="B235" s="53"/>
      <c r="C235" s="50" t="s">
        <v>300</v>
      </c>
      <c r="D235" s="31">
        <v>18</v>
      </c>
      <c r="E235" s="31">
        <v>185</v>
      </c>
      <c r="F235" s="31">
        <v>18</v>
      </c>
      <c r="G235" s="31">
        <v>185</v>
      </c>
      <c r="H235" s="67">
        <v>0</v>
      </c>
      <c r="I235" s="104"/>
      <c r="J235" s="31">
        <v>18</v>
      </c>
      <c r="K235" s="31">
        <v>185</v>
      </c>
      <c r="L235" s="8"/>
      <c r="M235" s="8"/>
      <c r="N235" s="8"/>
      <c r="O235" s="8"/>
      <c r="P235" s="8"/>
      <c r="Q235" s="8"/>
    </row>
    <row r="236" spans="1:17" ht="12.75" customHeight="1" x14ac:dyDescent="0.25">
      <c r="A236" s="18"/>
      <c r="B236" s="53"/>
      <c r="C236" s="50" t="s">
        <v>301</v>
      </c>
      <c r="D236" s="31"/>
      <c r="E236" s="31"/>
      <c r="F236" s="31"/>
      <c r="G236" s="31"/>
      <c r="H236" s="67">
        <v>0</v>
      </c>
      <c r="I236" s="104"/>
      <c r="J236" s="31"/>
      <c r="K236" s="31"/>
      <c r="L236" s="8"/>
      <c r="M236" s="8"/>
      <c r="N236" s="8"/>
      <c r="O236" s="8"/>
      <c r="P236" s="8"/>
      <c r="Q236" s="8"/>
    </row>
    <row r="237" spans="1:17" ht="12.75" customHeight="1" x14ac:dyDescent="0.25">
      <c r="A237" s="18"/>
      <c r="B237" s="53"/>
      <c r="C237" s="50" t="s">
        <v>302</v>
      </c>
      <c r="D237" s="31">
        <v>49</v>
      </c>
      <c r="E237" s="31">
        <v>382.5</v>
      </c>
      <c r="F237" s="31">
        <v>15</v>
      </c>
      <c r="G237" s="31">
        <v>65</v>
      </c>
      <c r="H237" s="67">
        <v>0</v>
      </c>
      <c r="I237" s="104"/>
      <c r="J237" s="31">
        <v>49</v>
      </c>
      <c r="K237" s="31">
        <v>382.5</v>
      </c>
      <c r="L237" s="8"/>
      <c r="M237" s="8"/>
      <c r="N237" s="8"/>
      <c r="O237" s="8"/>
      <c r="P237" s="8"/>
      <c r="Q237" s="8"/>
    </row>
    <row r="238" spans="1:17" ht="12.75" customHeight="1" x14ac:dyDescent="0.25">
      <c r="A238" s="18"/>
      <c r="B238" s="53"/>
      <c r="C238" s="50" t="s">
        <v>303</v>
      </c>
      <c r="D238" s="31">
        <v>6</v>
      </c>
      <c r="E238" s="31">
        <f>10+9+5+6+6+6</f>
        <v>42</v>
      </c>
      <c r="F238" s="31">
        <v>6</v>
      </c>
      <c r="G238" s="31">
        <v>42</v>
      </c>
      <c r="H238" s="67">
        <v>0</v>
      </c>
      <c r="I238" s="104"/>
      <c r="J238" s="31">
        <v>6</v>
      </c>
      <c r="K238" s="31">
        <f>10+9+5+6+6+6</f>
        <v>42</v>
      </c>
      <c r="L238" s="8"/>
      <c r="M238" s="8"/>
      <c r="N238" s="8"/>
      <c r="O238" s="8"/>
      <c r="P238" s="8"/>
      <c r="Q238" s="8"/>
    </row>
    <row r="239" spans="1:17" ht="12.75" customHeight="1" x14ac:dyDescent="0.25">
      <c r="A239" s="18"/>
      <c r="B239" s="53"/>
      <c r="C239" s="50" t="s">
        <v>359</v>
      </c>
      <c r="D239" s="31">
        <v>1</v>
      </c>
      <c r="E239" s="31">
        <v>8</v>
      </c>
      <c r="F239" s="31">
        <v>1</v>
      </c>
      <c r="G239" s="31">
        <v>8</v>
      </c>
      <c r="H239" s="67">
        <v>0</v>
      </c>
      <c r="I239" s="104"/>
      <c r="J239" s="31">
        <v>1</v>
      </c>
      <c r="K239" s="31">
        <v>8</v>
      </c>
      <c r="L239" s="8"/>
      <c r="M239" s="8"/>
      <c r="N239" s="8"/>
      <c r="O239" s="8"/>
      <c r="P239" s="8"/>
      <c r="Q239" s="8"/>
    </row>
    <row r="240" spans="1:17" ht="12.75" customHeight="1" x14ac:dyDescent="0.25">
      <c r="A240" s="18"/>
      <c r="B240" s="53"/>
      <c r="C240" s="50" t="s">
        <v>304</v>
      </c>
      <c r="D240" s="31">
        <v>15</v>
      </c>
      <c r="E240" s="31">
        <f>8+10+20+8+15+10+15+15</f>
        <v>101</v>
      </c>
      <c r="F240" s="31">
        <v>8</v>
      </c>
      <c r="G240" s="31">
        <v>79</v>
      </c>
      <c r="H240" s="67">
        <v>0</v>
      </c>
      <c r="I240" s="104"/>
      <c r="J240" s="31">
        <v>15</v>
      </c>
      <c r="K240" s="31">
        <f>8+10+20+8+15+10+15+15</f>
        <v>101</v>
      </c>
      <c r="L240" s="8"/>
      <c r="M240" s="8"/>
      <c r="N240" s="8"/>
      <c r="O240" s="8"/>
      <c r="P240" s="8"/>
      <c r="Q240" s="8"/>
    </row>
    <row r="241" spans="1:17" ht="12.75" customHeight="1" x14ac:dyDescent="0.2">
      <c r="A241" s="18"/>
      <c r="B241" s="18"/>
      <c r="C241" s="19" t="s">
        <v>30</v>
      </c>
      <c r="D241" s="31">
        <f>SUM(D201:D240)</f>
        <v>368</v>
      </c>
      <c r="E241" s="31">
        <f>SUM(E201:E240)</f>
        <v>3170</v>
      </c>
      <c r="F241" s="31">
        <f t="shared" ref="F241:Q241" si="5">SUM(F201:F240)</f>
        <v>260</v>
      </c>
      <c r="G241" s="31">
        <f t="shared" si="5"/>
        <v>2253.5</v>
      </c>
      <c r="H241" s="31">
        <f t="shared" si="5"/>
        <v>0</v>
      </c>
      <c r="I241" s="31">
        <f t="shared" si="5"/>
        <v>0</v>
      </c>
      <c r="J241" s="31">
        <f t="shared" si="5"/>
        <v>366</v>
      </c>
      <c r="K241" s="31">
        <f t="shared" si="5"/>
        <v>3141</v>
      </c>
      <c r="L241" s="31">
        <f t="shared" si="5"/>
        <v>0</v>
      </c>
      <c r="M241" s="31">
        <f t="shared" si="5"/>
        <v>0</v>
      </c>
      <c r="N241" s="31">
        <f t="shared" si="5"/>
        <v>0</v>
      </c>
      <c r="O241" s="31">
        <f t="shared" si="5"/>
        <v>0</v>
      </c>
      <c r="P241" s="31">
        <f t="shared" si="5"/>
        <v>0</v>
      </c>
      <c r="Q241" s="31">
        <f t="shared" si="5"/>
        <v>0</v>
      </c>
    </row>
    <row r="242" spans="1:17" ht="25.5" customHeight="1" x14ac:dyDescent="0.2">
      <c r="A242" s="14"/>
      <c r="B242" s="15"/>
      <c r="C242" s="23" t="s">
        <v>119</v>
      </c>
      <c r="D242" s="36">
        <f t="shared" ref="D242:Q242" si="6">SUM(D241+D199+D192+D182+D150+D99+D61)</f>
        <v>2689</v>
      </c>
      <c r="E242" s="36">
        <f t="shared" si="6"/>
        <v>21428.2</v>
      </c>
      <c r="F242" s="36">
        <f t="shared" si="6"/>
        <v>1728</v>
      </c>
      <c r="G242" s="36">
        <f t="shared" si="6"/>
        <v>13816.000000000002</v>
      </c>
      <c r="H242" s="36">
        <f t="shared" si="6"/>
        <v>0</v>
      </c>
      <c r="I242" s="36">
        <f t="shared" si="6"/>
        <v>0</v>
      </c>
      <c r="J242" s="36">
        <f t="shared" si="6"/>
        <v>2337</v>
      </c>
      <c r="K242" s="36">
        <f t="shared" si="6"/>
        <v>16829</v>
      </c>
      <c r="L242" s="36">
        <f t="shared" si="6"/>
        <v>0</v>
      </c>
      <c r="M242" s="36">
        <f t="shared" si="6"/>
        <v>0</v>
      </c>
      <c r="N242" s="36">
        <f t="shared" si="6"/>
        <v>0</v>
      </c>
      <c r="O242" s="36">
        <f t="shared" si="6"/>
        <v>0</v>
      </c>
      <c r="P242" s="36">
        <f t="shared" si="6"/>
        <v>0</v>
      </c>
      <c r="Q242" s="36">
        <f t="shared" si="6"/>
        <v>0</v>
      </c>
    </row>
    <row r="243" spans="1:17" x14ac:dyDescent="0.2">
      <c r="A243" s="10" t="s">
        <v>10</v>
      </c>
      <c r="B243" s="86" t="s">
        <v>11</v>
      </c>
      <c r="D243" s="37">
        <f>SUM(D242:D242)</f>
        <v>2689</v>
      </c>
      <c r="E243" s="38">
        <f>SUM(E242:E242)</f>
        <v>21428.2</v>
      </c>
      <c r="F243" s="38">
        <f t="shared" ref="F243:Q243" si="7">SUM(F242:F242)</f>
        <v>1728</v>
      </c>
      <c r="G243" s="38">
        <f t="shared" si="7"/>
        <v>13816.000000000002</v>
      </c>
      <c r="H243" s="38">
        <f t="shared" si="7"/>
        <v>0</v>
      </c>
      <c r="I243" s="38">
        <f t="shared" si="7"/>
        <v>0</v>
      </c>
      <c r="J243" s="38">
        <f t="shared" si="7"/>
        <v>2337</v>
      </c>
      <c r="K243" s="38">
        <f t="shared" si="7"/>
        <v>16829</v>
      </c>
      <c r="L243" s="38">
        <f t="shared" si="7"/>
        <v>0</v>
      </c>
      <c r="M243" s="38">
        <f t="shared" si="7"/>
        <v>0</v>
      </c>
      <c r="N243" s="38">
        <f t="shared" si="7"/>
        <v>0</v>
      </c>
      <c r="O243" s="38">
        <f t="shared" si="7"/>
        <v>0</v>
      </c>
      <c r="P243" s="38">
        <f t="shared" si="7"/>
        <v>0</v>
      </c>
      <c r="Q243" s="38">
        <f t="shared" si="7"/>
        <v>0</v>
      </c>
    </row>
  </sheetData>
  <autoFilter ref="C18:C243"/>
  <customSheetViews>
    <customSheetView guid="{AE693E57-7143-42C6-BE39-5ABDB0359885}" showAutoFilter="1" hiddenRows="1">
      <pane ySplit="16" topLeftCell="A222" activePane="bottomLeft" state="frozen"/>
      <selection pane="bottomLeft" activeCell="D201" sqref="D201:K240"/>
      <pageMargins left="0.75" right="0.75" top="1" bottom="1" header="0.5" footer="0.5"/>
      <pageSetup paperSize="9" scale="90" orientation="landscape" r:id="rId1"/>
      <headerFooter alignWithMargins="0"/>
      <autoFilter ref="C18:C243"/>
    </customSheetView>
    <customSheetView guid="{A743F9C7-8B89-4E8F-B91F-1FFB859064F2}" scale="85" showAutoFilter="1" hiddenRows="1" topLeftCell="C1">
      <pane ySplit="16" topLeftCell="A242" activePane="bottomLeft" state="frozen"/>
      <selection pane="bottomLeft" activeCell="K154" sqref="K154"/>
      <pageMargins left="0.75" right="0.75" top="1" bottom="1" header="0.5" footer="0.5"/>
      <pageSetup paperSize="9" scale="90" orientation="landscape" r:id="rId2"/>
      <headerFooter alignWithMargins="0"/>
      <autoFilter ref="C18:C243"/>
    </customSheetView>
  </customSheetViews>
  <pageMargins left="0.75" right="0.75" top="1" bottom="1" header="0.5" footer="0.5"/>
  <pageSetup paperSize="9" scale="90" orientation="landscape" r:id="rId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AE693E57-7143-42C6-BE39-5ABDB0359885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AE693E57-7143-42C6-BE39-5ABDB0359885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customSheetViews>
    <customSheetView guid="{AE693E57-7143-42C6-BE39-5ABDB0359885}" state="hidden">
      <pageMargins left="0.7" right="0.7" top="0.75" bottom="0.75" header="0.3" footer="0.3"/>
    </customSheetView>
    <customSheetView guid="{A743F9C7-8B89-4E8F-B91F-1FFB859064F2}" state="hidden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workbookViewId="0">
      <selection activeCell="N5" sqref="N5"/>
    </sheetView>
  </sheetViews>
  <sheetFormatPr defaultRowHeight="12.75" x14ac:dyDescent="0.2"/>
  <cols>
    <col min="1" max="1" width="12.85546875" customWidth="1"/>
    <col min="12" max="13" width="8.7109375" customWidth="1"/>
    <col min="15" max="15" width="10.5703125" customWidth="1"/>
    <col min="256" max="256" width="12.85546875" customWidth="1"/>
    <col min="512" max="512" width="12.85546875" customWidth="1"/>
    <col min="768" max="768" width="12.85546875" customWidth="1"/>
    <col min="1024" max="1024" width="12.85546875" customWidth="1"/>
    <col min="1280" max="1280" width="12.85546875" customWidth="1"/>
    <col min="1536" max="1536" width="12.85546875" customWidth="1"/>
    <col min="1792" max="1792" width="12.85546875" customWidth="1"/>
    <col min="2048" max="2048" width="12.85546875" customWidth="1"/>
    <col min="2304" max="2304" width="12.85546875" customWidth="1"/>
    <col min="2560" max="2560" width="12.85546875" customWidth="1"/>
    <col min="2816" max="2816" width="12.85546875" customWidth="1"/>
    <col min="3072" max="3072" width="12.85546875" customWidth="1"/>
    <col min="3328" max="3328" width="12.85546875" customWidth="1"/>
    <col min="3584" max="3584" width="12.85546875" customWidth="1"/>
    <col min="3840" max="3840" width="12.85546875" customWidth="1"/>
    <col min="4096" max="4096" width="12.85546875" customWidth="1"/>
    <col min="4352" max="4352" width="12.85546875" customWidth="1"/>
    <col min="4608" max="4608" width="12.85546875" customWidth="1"/>
    <col min="4864" max="4864" width="12.85546875" customWidth="1"/>
    <col min="5120" max="5120" width="12.85546875" customWidth="1"/>
    <col min="5376" max="5376" width="12.85546875" customWidth="1"/>
    <col min="5632" max="5632" width="12.85546875" customWidth="1"/>
    <col min="5888" max="5888" width="12.85546875" customWidth="1"/>
    <col min="6144" max="6144" width="12.85546875" customWidth="1"/>
    <col min="6400" max="6400" width="12.85546875" customWidth="1"/>
    <col min="6656" max="6656" width="12.85546875" customWidth="1"/>
    <col min="6912" max="6912" width="12.85546875" customWidth="1"/>
    <col min="7168" max="7168" width="12.85546875" customWidth="1"/>
    <col min="7424" max="7424" width="12.85546875" customWidth="1"/>
    <col min="7680" max="7680" width="12.85546875" customWidth="1"/>
    <col min="7936" max="7936" width="12.85546875" customWidth="1"/>
    <col min="8192" max="8192" width="12.85546875" customWidth="1"/>
    <col min="8448" max="8448" width="12.85546875" customWidth="1"/>
    <col min="8704" max="8704" width="12.85546875" customWidth="1"/>
    <col min="8960" max="8960" width="12.85546875" customWidth="1"/>
    <col min="9216" max="9216" width="12.85546875" customWidth="1"/>
    <col min="9472" max="9472" width="12.85546875" customWidth="1"/>
    <col min="9728" max="9728" width="12.85546875" customWidth="1"/>
    <col min="9984" max="9984" width="12.85546875" customWidth="1"/>
    <col min="10240" max="10240" width="12.85546875" customWidth="1"/>
    <col min="10496" max="10496" width="12.85546875" customWidth="1"/>
    <col min="10752" max="10752" width="12.85546875" customWidth="1"/>
    <col min="11008" max="11008" width="12.85546875" customWidth="1"/>
    <col min="11264" max="11264" width="12.85546875" customWidth="1"/>
    <col min="11520" max="11520" width="12.85546875" customWidth="1"/>
    <col min="11776" max="11776" width="12.85546875" customWidth="1"/>
    <col min="12032" max="12032" width="12.85546875" customWidth="1"/>
    <col min="12288" max="12288" width="12.85546875" customWidth="1"/>
    <col min="12544" max="12544" width="12.85546875" customWidth="1"/>
    <col min="12800" max="12800" width="12.85546875" customWidth="1"/>
    <col min="13056" max="13056" width="12.85546875" customWidth="1"/>
    <col min="13312" max="13312" width="12.85546875" customWidth="1"/>
    <col min="13568" max="13568" width="12.85546875" customWidth="1"/>
    <col min="13824" max="13824" width="12.85546875" customWidth="1"/>
    <col min="14080" max="14080" width="12.85546875" customWidth="1"/>
    <col min="14336" max="14336" width="12.85546875" customWidth="1"/>
    <col min="14592" max="14592" width="12.85546875" customWidth="1"/>
    <col min="14848" max="14848" width="12.85546875" customWidth="1"/>
    <col min="15104" max="15104" width="12.85546875" customWidth="1"/>
    <col min="15360" max="15360" width="12.85546875" customWidth="1"/>
    <col min="15616" max="15616" width="12.85546875" customWidth="1"/>
    <col min="15872" max="15872" width="12.85546875" customWidth="1"/>
    <col min="16128" max="16128" width="12.85546875" customWidth="1"/>
  </cols>
  <sheetData>
    <row r="1" spans="1:16" x14ac:dyDescent="0.2">
      <c r="A1" t="s">
        <v>365</v>
      </c>
      <c r="B1" t="s">
        <v>366</v>
      </c>
      <c r="C1" t="s">
        <v>367</v>
      </c>
      <c r="D1" t="s">
        <v>368</v>
      </c>
      <c r="E1" t="s">
        <v>369</v>
      </c>
      <c r="F1" t="s">
        <v>370</v>
      </c>
      <c r="G1" t="s">
        <v>371</v>
      </c>
      <c r="H1" t="s">
        <v>372</v>
      </c>
      <c r="I1" t="s">
        <v>373</v>
      </c>
      <c r="J1" t="s">
        <v>374</v>
      </c>
      <c r="K1" t="s">
        <v>375</v>
      </c>
      <c r="L1" t="s">
        <v>376</v>
      </c>
      <c r="M1" t="s">
        <v>377</v>
      </c>
    </row>
    <row r="2" spans="1:16" x14ac:dyDescent="0.2">
      <c r="B2" t="s">
        <v>378</v>
      </c>
    </row>
    <row r="3" spans="1:16" ht="14.25" x14ac:dyDescent="0.2">
      <c r="A3">
        <v>0.4</v>
      </c>
      <c r="B3" s="110">
        <v>1810.5</v>
      </c>
      <c r="C3" s="110">
        <v>1725</v>
      </c>
      <c r="D3" s="110">
        <v>1737</v>
      </c>
      <c r="E3" s="110">
        <v>2135.3000000000002</v>
      </c>
      <c r="F3" s="110">
        <v>1101.5</v>
      </c>
      <c r="G3" s="110">
        <v>1362.5</v>
      </c>
      <c r="H3" s="110">
        <v>1234</v>
      </c>
      <c r="I3" s="110">
        <v>1118.7</v>
      </c>
      <c r="J3" s="110">
        <v>825</v>
      </c>
      <c r="K3" s="110">
        <v>772</v>
      </c>
      <c r="L3" s="110">
        <v>399.5</v>
      </c>
      <c r="M3" s="110">
        <v>1884.2</v>
      </c>
      <c r="N3">
        <f>SUM(B3:M3)</f>
        <v>16105.2</v>
      </c>
      <c r="O3" s="115"/>
    </row>
    <row r="4" spans="1:16" x14ac:dyDescent="0.2">
      <c r="B4" t="s">
        <v>378</v>
      </c>
    </row>
    <row r="5" spans="1:16" ht="14.25" x14ac:dyDescent="0.2">
      <c r="A5" s="10"/>
      <c r="B5" s="10">
        <v>2577.8000000000002</v>
      </c>
      <c r="C5" s="10">
        <v>6097</v>
      </c>
      <c r="D5" s="10">
        <v>231</v>
      </c>
      <c r="E5" s="10">
        <v>6532</v>
      </c>
      <c r="F5" s="10">
        <v>356</v>
      </c>
      <c r="G5" s="10">
        <v>65</v>
      </c>
      <c r="H5" s="10">
        <v>1155.7</v>
      </c>
      <c r="I5" s="111">
        <v>279.5</v>
      </c>
      <c r="J5" s="10">
        <v>74</v>
      </c>
      <c r="K5" s="10">
        <v>56</v>
      </c>
      <c r="L5" s="10">
        <v>338</v>
      </c>
      <c r="M5" s="10">
        <v>93</v>
      </c>
      <c r="N5">
        <f>SUM(B5:M5)</f>
        <v>17855</v>
      </c>
    </row>
    <row r="6" spans="1:16" ht="14.25" x14ac:dyDescent="0.2"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</row>
    <row r="7" spans="1:16" ht="14.25" x14ac:dyDescent="0.2">
      <c r="A7" t="s">
        <v>379</v>
      </c>
      <c r="B7" s="111">
        <f t="shared" ref="B7:M7" si="0">B5+B3</f>
        <v>4388.3</v>
      </c>
      <c r="C7" s="111">
        <f t="shared" si="0"/>
        <v>7822</v>
      </c>
      <c r="D7" s="111">
        <f t="shared" si="0"/>
        <v>1968</v>
      </c>
      <c r="E7" s="111">
        <f t="shared" si="0"/>
        <v>8667.2999999999993</v>
      </c>
      <c r="F7" s="111">
        <f t="shared" si="0"/>
        <v>1457.5</v>
      </c>
      <c r="G7" s="111">
        <f t="shared" si="0"/>
        <v>1427.5</v>
      </c>
      <c r="H7" s="111">
        <f t="shared" si="0"/>
        <v>2389.6999999999998</v>
      </c>
      <c r="I7" s="111">
        <f t="shared" si="0"/>
        <v>1398.2</v>
      </c>
      <c r="J7" s="111">
        <f t="shared" si="0"/>
        <v>899</v>
      </c>
      <c r="K7" s="111">
        <f t="shared" si="0"/>
        <v>828</v>
      </c>
      <c r="L7" s="111">
        <f t="shared" si="0"/>
        <v>737.5</v>
      </c>
      <c r="M7" s="111">
        <f t="shared" si="0"/>
        <v>1977.2</v>
      </c>
      <c r="N7">
        <f>SUM(B7:M7)</f>
        <v>33960.199999999997</v>
      </c>
      <c r="O7">
        <v>34006</v>
      </c>
      <c r="P7">
        <v>94202</v>
      </c>
    </row>
    <row r="8" spans="1:16" ht="14.25" x14ac:dyDescent="0.2">
      <c r="B8" s="113"/>
      <c r="C8" s="112"/>
      <c r="D8" s="112"/>
      <c r="E8" s="112"/>
      <c r="F8" s="112"/>
      <c r="G8" s="112"/>
      <c r="H8" s="112"/>
      <c r="I8" s="112"/>
      <c r="J8" s="112"/>
      <c r="K8" s="112"/>
      <c r="L8" s="112"/>
      <c r="M8" s="112"/>
    </row>
    <row r="9" spans="1:16" ht="14.25" x14ac:dyDescent="0.2">
      <c r="B9" s="113">
        <v>360</v>
      </c>
      <c r="C9" s="112">
        <v>260</v>
      </c>
      <c r="D9" s="112">
        <v>272</v>
      </c>
      <c r="E9" s="112">
        <v>370</v>
      </c>
      <c r="F9" s="112">
        <v>164</v>
      </c>
      <c r="G9" s="112">
        <v>242</v>
      </c>
      <c r="H9" s="112">
        <v>197</v>
      </c>
      <c r="I9" s="112">
        <v>198</v>
      </c>
      <c r="J9" s="112">
        <v>155</v>
      </c>
      <c r="K9" s="113">
        <v>93</v>
      </c>
      <c r="L9" s="112">
        <v>82</v>
      </c>
      <c r="M9" s="112">
        <f>108+173</f>
        <v>281</v>
      </c>
      <c r="N9">
        <f>SUM(B9:M9)</f>
        <v>2674</v>
      </c>
      <c r="P9">
        <v>3281</v>
      </c>
    </row>
    <row r="10" spans="1:16" ht="14.25" x14ac:dyDescent="0.2">
      <c r="B10" s="113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</row>
    <row r="11" spans="1:16" ht="14.25" x14ac:dyDescent="0.2">
      <c r="A11" t="s">
        <v>380</v>
      </c>
      <c r="B11" s="112">
        <v>70</v>
      </c>
      <c r="C11" s="112">
        <v>65</v>
      </c>
      <c r="D11" s="112">
        <v>15</v>
      </c>
      <c r="E11" s="114">
        <v>97</v>
      </c>
      <c r="F11" s="112">
        <v>12</v>
      </c>
      <c r="G11" s="112">
        <v>6</v>
      </c>
      <c r="H11" s="112">
        <v>26</v>
      </c>
      <c r="I11" s="112">
        <v>22</v>
      </c>
      <c r="J11" s="112">
        <v>7</v>
      </c>
      <c r="K11" s="112">
        <v>6</v>
      </c>
      <c r="L11" s="112">
        <v>4</v>
      </c>
      <c r="M11" s="112">
        <v>7</v>
      </c>
      <c r="N11">
        <f>SUM(B11:M11)</f>
        <v>337</v>
      </c>
    </row>
    <row r="12" spans="1:16" ht="14.25" x14ac:dyDescent="0.2">
      <c r="A12">
        <v>0.4</v>
      </c>
      <c r="B12" s="112">
        <f>B9-B11</f>
        <v>290</v>
      </c>
      <c r="C12" s="112">
        <f t="shared" ref="C12:L12" si="1">C9-C11</f>
        <v>195</v>
      </c>
      <c r="D12" s="112">
        <f t="shared" si="1"/>
        <v>257</v>
      </c>
      <c r="E12" s="112">
        <f t="shared" si="1"/>
        <v>273</v>
      </c>
      <c r="F12" s="112">
        <f t="shared" si="1"/>
        <v>152</v>
      </c>
      <c r="G12" s="112">
        <f t="shared" si="1"/>
        <v>236</v>
      </c>
      <c r="H12" s="112">
        <f t="shared" si="1"/>
        <v>171</v>
      </c>
      <c r="I12" s="112">
        <f t="shared" si="1"/>
        <v>176</v>
      </c>
      <c r="J12" s="112">
        <f t="shared" si="1"/>
        <v>148</v>
      </c>
      <c r="K12" s="112">
        <f t="shared" si="1"/>
        <v>87</v>
      </c>
      <c r="L12" s="112">
        <f t="shared" si="1"/>
        <v>78</v>
      </c>
      <c r="M12" s="112">
        <f>101+173</f>
        <v>274</v>
      </c>
      <c r="N12">
        <f>SUM(B12:M12)</f>
        <v>2337</v>
      </c>
    </row>
    <row r="15" spans="1:16" x14ac:dyDescent="0.2">
      <c r="L15" t="s">
        <v>383</v>
      </c>
      <c r="N15">
        <v>1500</v>
      </c>
    </row>
    <row r="16" spans="1:16" x14ac:dyDescent="0.2">
      <c r="L16" t="s">
        <v>381</v>
      </c>
      <c r="N16">
        <v>700</v>
      </c>
    </row>
    <row r="17" spans="12:14" x14ac:dyDescent="0.2">
      <c r="L17" t="s">
        <v>382</v>
      </c>
      <c r="N17">
        <v>2000</v>
      </c>
    </row>
  </sheetData>
  <customSheetViews>
    <customSheetView guid="{AE693E57-7143-42C6-BE39-5ABDB0359885}">
      <selection activeCell="N5" sqref="N5"/>
      <pageMargins left="0.7" right="0.7" top="0.75" bottom="0.75" header="0.3" footer="0.3"/>
    </customSheetView>
    <customSheetView guid="{A743F9C7-8B89-4E8F-B91F-1FFB859064F2}">
      <selection activeCell="N5" sqref="N5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Лист1</vt:lpstr>
      <vt:lpstr>Ноябрь 2013г</vt:lpstr>
      <vt:lpstr>декабрь 2014г</vt:lpstr>
      <vt:lpstr>декабрь 2014г. по 6-10</vt:lpstr>
      <vt:lpstr>декабрь 2014г. по 0,4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dcterms:created xsi:type="dcterms:W3CDTF">2013-09-25T14:18:06Z</dcterms:created>
  <dcterms:modified xsi:type="dcterms:W3CDTF">2015-01-21T13:14:32Z</dcterms:modified>
</cp:coreProperties>
</file>